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640" windowHeight="11760"/>
  </bookViews>
  <sheets>
    <sheet name="Data Entry" sheetId="1" r:id="rId1"/>
    <sheet name="Sales Report" sheetId="2" r:id="rId2"/>
    <sheet name="Sales Forecast" sheetId="5" r:id="rId3"/>
  </sheets>
  <definedNames>
    <definedName name="fDate">'Sales Forecast'!$D$3</definedName>
    <definedName name="fDay">'Sales Forecast'!$H$2</definedName>
    <definedName name="fMonth">'Sales Forecast'!$G$2</definedName>
    <definedName name="ForecastDate">'Sales Forecast'!$D$3</definedName>
    <definedName name="fYear">'Sales Forecast'!$I$2</definedName>
    <definedName name="_xlnm.Print_Area" localSheetId="2">'Sales Forecast'!$B$2:$J$43</definedName>
    <definedName name="_xlnm.Print_Titles" localSheetId="1">'Sales Report'!$B:$E,'Sales Report'!$5:$5</definedName>
  </definedNames>
  <calcPr calcId="124519"/>
  <pivotCaches>
    <pivotCache cacheId="7" r:id="rId4"/>
  </pivotCaches>
  <fileRecoveryPr repairLoad="1"/>
</workbook>
</file>

<file path=xl/calcChain.xml><?xml version="1.0" encoding="utf-8"?>
<calcChain xmlns="http://schemas.openxmlformats.org/spreadsheetml/2006/main">
  <c r="B24" i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J1"/>
  <c r="B3" i="5" l="1"/>
  <c r="D3" l="1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H24"/>
  <c r="I24" s="1"/>
  <c r="J24"/>
  <c r="L24"/>
  <c r="N24"/>
  <c r="L18"/>
  <c r="H23"/>
  <c r="I23" s="1"/>
  <c r="J23"/>
  <c r="L23"/>
  <c r="N23"/>
  <c r="N6"/>
  <c r="N7"/>
  <c r="N8"/>
  <c r="N9"/>
  <c r="N10"/>
  <c r="N11"/>
  <c r="N12"/>
  <c r="N13"/>
  <c r="N14"/>
  <c r="N15"/>
  <c r="N16"/>
  <c r="N17"/>
  <c r="N18"/>
  <c r="N19"/>
  <c r="N20"/>
  <c r="N21"/>
  <c r="N22"/>
  <c r="L6"/>
  <c r="L7"/>
  <c r="L8"/>
  <c r="L9"/>
  <c r="L10"/>
  <c r="L11"/>
  <c r="L12"/>
  <c r="L13"/>
  <c r="L14"/>
  <c r="L15"/>
  <c r="L16"/>
  <c r="L17"/>
  <c r="L19"/>
  <c r="L20"/>
  <c r="L21"/>
  <c r="L22"/>
  <c r="O6" l="1"/>
  <c r="O23"/>
  <c r="O21"/>
  <c r="O19"/>
  <c r="O17"/>
  <c r="O15"/>
  <c r="O13"/>
  <c r="O11"/>
  <c r="O9"/>
  <c r="O7"/>
  <c r="O24"/>
  <c r="O22"/>
  <c r="O20"/>
  <c r="O18"/>
  <c r="O16"/>
  <c r="O14"/>
  <c r="O12"/>
  <c r="O10"/>
  <c r="O8"/>
  <c r="I14" i="5" l="1"/>
  <c r="D14"/>
  <c r="H8"/>
  <c r="G7"/>
  <c r="H7"/>
  <c r="G10"/>
  <c r="G6"/>
  <c r="G8"/>
  <c r="J6" i="1"/>
  <c r="J7"/>
  <c r="J8"/>
  <c r="J9"/>
  <c r="J10"/>
  <c r="J11"/>
  <c r="J12"/>
  <c r="J13"/>
  <c r="J14"/>
  <c r="J15"/>
  <c r="J16"/>
  <c r="J17"/>
  <c r="J18"/>
  <c r="J19"/>
  <c r="J20"/>
  <c r="J21"/>
  <c r="J22"/>
  <c r="H6"/>
  <c r="H7"/>
  <c r="H8"/>
  <c r="H9"/>
  <c r="H10"/>
  <c r="H11"/>
  <c r="H12"/>
  <c r="H13"/>
  <c r="H14"/>
  <c r="H15"/>
  <c r="H16"/>
  <c r="H17"/>
  <c r="H18"/>
  <c r="H19"/>
  <c r="H20"/>
  <c r="H21"/>
  <c r="H22"/>
  <c r="J7" i="5" l="1"/>
  <c r="G9"/>
  <c r="H9"/>
  <c r="J8"/>
  <c r="Q21" i="1"/>
  <c r="Q19"/>
  <c r="Q17"/>
  <c r="Q15"/>
  <c r="Q13"/>
  <c r="Q11"/>
  <c r="Q9"/>
  <c r="Q7"/>
  <c r="Q22"/>
  <c r="Q20"/>
  <c r="Q18"/>
  <c r="Q16"/>
  <c r="Q14"/>
  <c r="Q12"/>
  <c r="Q10"/>
  <c r="Q8"/>
  <c r="Q6"/>
  <c r="Q23"/>
  <c r="Q24"/>
  <c r="C8" i="5"/>
  <c r="C10"/>
  <c r="C7"/>
  <c r="D8"/>
  <c r="D7"/>
  <c r="C6"/>
  <c r="I21" i="1"/>
  <c r="I19"/>
  <c r="I17"/>
  <c r="I15"/>
  <c r="I13"/>
  <c r="I11"/>
  <c r="I9"/>
  <c r="I7"/>
  <c r="I22"/>
  <c r="I20"/>
  <c r="I18"/>
  <c r="I16"/>
  <c r="I14"/>
  <c r="I12"/>
  <c r="I10"/>
  <c r="I8"/>
  <c r="I6"/>
  <c r="G11" i="5"/>
  <c r="I8"/>
  <c r="I7"/>
  <c r="J9" l="1"/>
  <c r="M24" i="1"/>
  <c r="M23"/>
  <c r="M6"/>
  <c r="M8"/>
  <c r="M12"/>
  <c r="M16"/>
  <c r="M20"/>
  <c r="M7"/>
  <c r="M11"/>
  <c r="M15"/>
  <c r="M19"/>
  <c r="M10"/>
  <c r="M14"/>
  <c r="M18"/>
  <c r="M22"/>
  <c r="M9"/>
  <c r="M13"/>
  <c r="M17"/>
  <c r="M21"/>
  <c r="F7" i="5"/>
  <c r="C11"/>
  <c r="F8"/>
  <c r="D9"/>
  <c r="C9"/>
  <c r="E8"/>
  <c r="E7"/>
  <c r="P10" i="1" l="1"/>
  <c r="P14"/>
  <c r="P15"/>
  <c r="P7"/>
  <c r="P16"/>
  <c r="P8"/>
  <c r="P23"/>
  <c r="P21"/>
  <c r="P13"/>
  <c r="P22"/>
  <c r="P19"/>
  <c r="P11"/>
  <c r="P20"/>
  <c r="P12"/>
  <c r="P24"/>
  <c r="P6"/>
  <c r="P17"/>
  <c r="P9"/>
  <c r="P18"/>
  <c r="F14" i="5"/>
  <c r="F9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<sst xmlns="http://schemas.openxmlformats.org/spreadsheetml/2006/main" count="94" uniqueCount="57">
  <si>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</si>
  <si>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</si>
  <si>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</si>
  <si>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</si>
  <si>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</si>
  <si>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</si>
  <si>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Grand Total</t>
  </si>
  <si>
    <t>%</t>
  </si>
  <si>
    <t>Quantity</t>
  </si>
  <si>
    <t>Revenues</t>
  </si>
  <si>
    <t>Margin</t>
  </si>
  <si>
    <t>Number of Orders</t>
  </si>
  <si>
    <t>Average Order Value</t>
  </si>
  <si>
    <t>Sales</t>
  </si>
  <si>
    <t>YTD %</t>
  </si>
  <si>
    <t>MONTH</t>
  </si>
  <si>
    <t>QUARTER</t>
  </si>
  <si>
    <t xml:space="preserve">MONTH </t>
  </si>
  <si>
    <t xml:space="preserve">QUARTER </t>
  </si>
  <si>
    <t xml:space="preserve">YEARLY </t>
  </si>
  <si>
    <t>YEAR</t>
  </si>
  <si>
    <t xml:space="preserve">MONTH  </t>
  </si>
  <si>
    <t xml:space="preserve">QUARTER  </t>
  </si>
  <si>
    <t xml:space="preserve">YEAR  </t>
  </si>
  <si>
    <t>DATE</t>
  </si>
  <si>
    <t>COMPANY</t>
  </si>
  <si>
    <t>AMOUNT</t>
  </si>
  <si>
    <t>PLANNED</t>
  </si>
  <si>
    <t>COST</t>
  </si>
  <si>
    <t>REVENUE</t>
  </si>
  <si>
    <t>MONTH NUM (HIDE)</t>
  </si>
  <si>
    <t>FORECAST</t>
  </si>
  <si>
    <t>TOTALS</t>
  </si>
  <si>
    <r>
      <rPr>
        <sz val="22"/>
        <color theme="3"/>
        <rFont val="Arial Black"/>
        <family val="2"/>
        <scheme val="major"/>
      </rPr>
      <t xml:space="preserve">MONTHLY </t>
    </r>
    <r>
      <rPr>
        <sz val="22"/>
        <color theme="4"/>
        <rFont val="Arial"/>
        <family val="2"/>
        <scheme val="minor"/>
      </rPr>
      <t>SALES FORECAST</t>
    </r>
  </si>
  <si>
    <t>THIS MONTH</t>
  </si>
  <si>
    <t>ACTUAL</t>
  </si>
  <si>
    <t>PLAN</t>
  </si>
  <si>
    <t>VARIANCE</t>
  </si>
  <si>
    <t>YTD ACTUAL</t>
  </si>
  <si>
    <t>YTD PLAN</t>
  </si>
  <si>
    <t>YTD VARIANCE</t>
  </si>
  <si>
    <t>NEXT MONTH</t>
  </si>
  <si>
    <t>NEXT QUARTER</t>
  </si>
  <si>
    <t>NEXT YEAR</t>
  </si>
  <si>
    <t>SALES HISTORY</t>
  </si>
  <si>
    <t>YEAR FORECAST</t>
  </si>
  <si>
    <t>REVENUE STREAM</t>
  </si>
  <si>
    <t>MONTH FORECAST</t>
  </si>
  <si>
    <t>QUARTER FORECAST</t>
  </si>
  <si>
    <r>
      <rPr>
        <sz val="22"/>
        <color theme="3"/>
        <rFont val="Arial Black"/>
        <family val="2"/>
        <scheme val="major"/>
      </rPr>
      <t xml:space="preserve">MONTHLY </t>
    </r>
    <r>
      <rPr>
        <sz val="22"/>
        <color theme="4"/>
        <rFont val="Arial"/>
        <family val="2"/>
        <scheme val="minor"/>
      </rPr>
      <t>SALES REPORT</t>
    </r>
  </si>
  <si>
    <t>TOTAL SALES</t>
  </si>
  <si>
    <t xml:space="preserve"> </t>
  </si>
  <si>
    <t xml:space="preserve"> Quarter 2 Total</t>
  </si>
  <si>
    <t xml:space="preserve"> Quarter 3 Total</t>
  </si>
  <si>
    <t xml:space="preserve"> Quarter 4 Total</t>
  </si>
  <si>
    <t xml:space="preserve"> 2013 Total</t>
  </si>
  <si>
    <r>
      <rPr>
        <sz val="10.5"/>
        <rFont val="Arial Black"/>
        <family val="2"/>
        <scheme val="major"/>
      </rPr>
      <t xml:space="preserve">MONTHLY </t>
    </r>
    <r>
      <rPr>
        <sz val="10.5"/>
        <rFont val="Arial"/>
        <family val="2"/>
        <scheme val="minor"/>
      </rPr>
      <t>DATA ENTRY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</si>
</sst>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&quot;$&quot;#,##0.00"/>
    <numFmt numFmtId="165" formatCode="mmmm"/>
    <numFmt numFmtId="166" formatCode="&quot;Quarter &quot;0"/>
    <numFmt numFmtId="167" formatCode="_(0"/>
    <numFmt numFmtId="168" formatCode="&quot; Quarter &quot;0"/>
    <numFmt numFmtId="169" formatCode="_(mmmm"/>
  </numFmts>
  <fonts count="19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 Black"/>
      <scheme val="major"/>
    </font>
    <font>
      <sz val="10"/>
      <color theme="5"/>
      <name val="Arial"/>
      <scheme val="minor"/>
    </font>
    <font>
      <sz val="10.5"/>
      <name val="Arial Black"/>
      <family val="1"/>
      <scheme val="major"/>
    </font>
    <font>
      <sz val="10.5"/>
      <name val="Arial"/>
      <family val="2"/>
      <scheme val="minor"/>
    </font>
    <font>
      <sz val="10.5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Alignment="1">
      <alignment horizontal="right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164" fontId="10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>
      <alignment vertical="center"/>
    </xf>
    <xf numFmtId="167" fontId="10" fillId="0" borderId="0" xfId="0" applyNumberFormat="1" applyFont="1">
      <alignment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>
      <alignment vertical="center"/>
    </xf>
    <xf numFmtId="168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0" fillId="0" borderId="0" xfId="0" pivotButton="1">
      <alignment vertical="center"/>
    </xf>
    <xf numFmtId="0" fontId="14" fillId="0" borderId="0" xfId="0" pivotButton="1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Continuous"/>
    </xf>
    <xf numFmtId="0" fontId="17" fillId="0" borderId="5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0" xfId="4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17" fillId="5" borderId="0" xfId="0" applyNumberFormat="1" applyFont="1" applyFill="1" applyBorder="1" applyAlignment="1">
      <alignment horizontal="left" vertical="center"/>
    </xf>
    <xf numFmtId="165" fontId="17" fillId="5" borderId="0" xfId="0" applyNumberFormat="1" applyFont="1" applyFill="1" applyBorder="1" applyAlignment="1">
      <alignment horizontal="left" vertical="center"/>
    </xf>
    <xf numFmtId="166" fontId="17" fillId="5" borderId="0" xfId="0" applyNumberFormat="1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7" fillId="2" borderId="0" xfId="1" applyNumberFormat="1" applyFont="1" applyFill="1" applyBorder="1" applyAlignment="1">
      <alignment horizontal="left" vertical="center"/>
    </xf>
    <xf numFmtId="164" fontId="17" fillId="4" borderId="0" xfId="0" applyNumberFormat="1" applyFont="1" applyFill="1" applyBorder="1" applyAlignment="1">
      <alignment horizontal="left" vertical="center"/>
    </xf>
    <xf numFmtId="164" fontId="17" fillId="3" borderId="0" xfId="0" applyNumberFormat="1" applyFont="1" applyFill="1" applyBorder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left" vertical="center"/>
    </xf>
  </cellXfs>
  <cellStyles count="5">
    <cellStyle name="Comma" xfId="1" builtinId="3"/>
    <cellStyle name="Heading 1" xfId="2" builtinId="16" customBuiltin="1"/>
    <cellStyle name="Heading 2" xfId="3" builtinId="17" customBuiltin="1"/>
    <cellStyle name="Heading 4" xfId="4" builtinId="19" customBuiltin="1"/>
    <cellStyle name="Normal" xfId="0" builtinId="0" customBuiltin="1"/>
  </cellStyles>
  <dxfs count="51"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none">
          <fgColor indexed="64"/>
          <bgColor theme="4" tint="0.39997558519241921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none">
          <fgColor indexed="64"/>
          <bgColor theme="4" tint="0.39997558519241921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none">
          <fgColor indexed="64"/>
          <bgColor theme="4" tint="0.39997558519241921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fill>
        <patternFill patternType="none">
          <fgColor indexed="64"/>
          <bgColor theme="4" tint="0.39997558519241921"/>
        </patternFill>
      </fill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.5"/>
        <color auto="1"/>
        <name val="Arial"/>
        <scheme val="minor"/>
      </font>
      <numFmt numFmtId="170" formatCode="mm/dd/yyyy"/>
      <alignment horizontal="left" vertical="center" textRotation="0" wrapText="0" indent="0" relativeIndent="255" justifyLastLine="0" shrinkToFit="0" mergeCell="0" readingOrder="0"/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 Black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 Black"/>
        <scheme val="major"/>
      </font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50"/>
      <tableStyleElement type="headerRow" dxfId="49"/>
      <tableStyleElement type="totalRow" dxfId="48"/>
      <tableStyleElement type="secondSubtotalRow" dxfId="47"/>
      <tableStyleElement type="thirdSubtotalRow" dxfId="46"/>
      <tableStyleElement type="firstRowSubheading" dxfId="45"/>
      <tableStyleElement type="secondRowSubheading" dxfId="44"/>
      <tableStyleElement type="thirdRowSubheading" dxfId="43"/>
    </tableStyle>
    <tableStyle name="Monthly Sales Report Table Style" pivot="0" count="2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'Data Entry'!$D$5</c:f>
              <c:strCache>
                <c:ptCount val="1"/>
                <c:pt idx="0">
                  <c:v>AMOUNT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Entry'!$D$6:$D$24</c:f>
              <c:numCache>
                <c:formatCode>"$"#,##0.00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</c:ser>
        <c:ser>
          <c:idx val="1"/>
          <c:order val="1"/>
          <c:tx>
            <c:strRef>
              <c:f>'Data Entry'!$E$5</c:f>
              <c:strCache>
                <c:ptCount val="1"/>
                <c:pt idx="0">
                  <c:v>PLANNED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Entry'!$E$6:$E$24</c:f>
              <c:numCache>
                <c:formatCode>"$"#,##0.00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</c:ser>
        <c:ser>
          <c:idx val="2"/>
          <c:order val="2"/>
          <c:tx>
            <c:strRef>
              <c:f>'Data Entry'!$F$5</c:f>
              <c:strCache>
                <c:ptCount val="1"/>
                <c:pt idx="0">
                  <c:v>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Entry'!$F$6:$F$24</c:f>
              <c:numCache>
                <c:formatCode>"$"#,##0.00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</c:ser>
        <c:ser>
          <c:idx val="3"/>
          <c:order val="3"/>
          <c:tx>
            <c:strRef>
              <c:f>'Data Entry'!$G$5</c:f>
              <c:strCache>
                <c:ptCount val="1"/>
                <c:pt idx="0">
                  <c:v>REVENUE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Entry'!$G$6:$G$24</c:f>
              <c:numCache>
                <c:formatCode>"$"#,##0.00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</c:ser>
        <c:dLbls/>
        <c:marker val="1"/>
        <c:axId val="67633152"/>
        <c:axId val="67634688"/>
      </c:lineChart>
      <c:dateAx>
        <c:axId val="67633152"/>
        <c:scaling>
          <c:orientation val="minMax"/>
        </c:scaling>
        <c:axPos val="b"/>
        <c:numFmt formatCode="mmm\ yyyy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7634688"/>
        <c:crosses val="autoZero"/>
        <c:auto val="1"/>
        <c:lblOffset val="100"/>
        <c:baseTimeUnit val="days"/>
        <c:majorUnit val="1"/>
        <c:majorTimeUnit val="months"/>
      </c:dateAx>
      <c:valAx>
        <c:axId val="67634688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$&quot;#,##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633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53"/>
          <c:y val="4.8780519032404483E-2"/>
          <c:w val="0.39453910196709285"/>
          <c:h val="8.7584605021717429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/>
      <c:lineChart>
        <c:grouping val="standard"/>
        <c:ser>
          <c:idx val="0"/>
          <c:order val="0"/>
          <c:tx>
            <c:strRef>
              <c:f>'Data Entry'!$O$5</c:f>
              <c:strCache>
                <c:ptCount val="1"/>
                <c:pt idx="0">
                  <c:v>MONTH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Entry'!$O$6:$O$24</c:f>
              <c:numCache>
                <c:formatCode>"$"#,##0.00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13667.567567567565</c:v>
                </c:pt>
                <c:pt idx="11">
                  <c:v>17651.666666666664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17951.744186046508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</c:ser>
        <c:dLbls/>
        <c:marker val="1"/>
        <c:axId val="67671168"/>
        <c:axId val="67672704"/>
      </c:lineChart>
      <c:dateAx>
        <c:axId val="67671168"/>
        <c:scaling>
          <c:orientation val="minMax"/>
        </c:scaling>
        <c:delete val="1"/>
        <c:axPos val="b"/>
        <c:numFmt formatCode="mmm\ yyyy" sourceLinked="0"/>
        <c:tickLblPos val="nextTo"/>
        <c:crossAx val="67672704"/>
        <c:crosses val="autoZero"/>
        <c:auto val="1"/>
        <c:lblOffset val="100"/>
        <c:baseTimeUnit val="days"/>
        <c:majorUnit val="1"/>
        <c:majorTimeUnit val="months"/>
      </c:dateAx>
      <c:valAx>
        <c:axId val="67672704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$&quot;#,##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7671168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autoTitleDeleted val="1"/>
    <c:plotArea>
      <c:layout/>
      <c:lineChart>
        <c:grouping val="standard"/>
        <c:ser>
          <c:idx val="0"/>
          <c:order val="0"/>
          <c:tx>
            <c:strRef>
              <c:f>'Data Entry'!$P$5</c:f>
              <c:strCache>
                <c:ptCount val="1"/>
                <c:pt idx="0">
                  <c:v>QUARTER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Entry'!$P$6:$P$24</c:f>
              <c:numCache>
                <c:formatCode>"$"#,##0.00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</c:ser>
        <c:dLbls/>
        <c:marker val="1"/>
        <c:axId val="74467200"/>
        <c:axId val="74468736"/>
      </c:lineChart>
      <c:dateAx>
        <c:axId val="74467200"/>
        <c:scaling>
          <c:orientation val="minMax"/>
        </c:scaling>
        <c:delete val="1"/>
        <c:axPos val="b"/>
        <c:numFmt formatCode="mmm\ yyyy" sourceLinked="0"/>
        <c:tickLblPos val="nextTo"/>
        <c:crossAx val="74468736"/>
        <c:crosses val="autoZero"/>
        <c:auto val="1"/>
        <c:lblOffset val="100"/>
        <c:baseTimeUnit val="days"/>
        <c:majorUnit val="1"/>
        <c:majorTimeUnit val="months"/>
      </c:dateAx>
      <c:valAx>
        <c:axId val="74468736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$&quot;#,##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4467200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autoTitleDeleted val="1"/>
    <c:plotArea>
      <c:layout/>
      <c:lineChart>
        <c:grouping val="standard"/>
        <c:ser>
          <c:idx val="0"/>
          <c:order val="0"/>
          <c:tx>
            <c:strRef>
              <c:f>'Data Entry'!$Q$5</c:f>
              <c:strCache>
                <c:ptCount val="1"/>
                <c:pt idx="0">
                  <c:v>YEAR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Entry'!$Q$6:$Q$24</c:f>
              <c:numCache>
                <c:formatCode>"$"#,##0.00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</c:ser>
        <c:dLbls/>
        <c:marker val="1"/>
        <c:axId val="74500736"/>
        <c:axId val="74510720"/>
      </c:lineChart>
      <c:dateAx>
        <c:axId val="74500736"/>
        <c:scaling>
          <c:orientation val="minMax"/>
        </c:scaling>
        <c:delete val="1"/>
        <c:axPos val="b"/>
        <c:numFmt formatCode="mmm\ yyyy" sourceLinked="0"/>
        <c:tickLblPos val="nextTo"/>
        <c:crossAx val="74510720"/>
        <c:crosses val="autoZero"/>
        <c:auto val="1"/>
        <c:lblOffset val="100"/>
        <c:baseTimeUnit val="days"/>
        <c:majorUnit val="1"/>
        <c:majorTimeUnit val="months"/>
      </c:dateAx>
      <c:valAx>
        <c:axId val="74510720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$&quot;#,##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4500736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autoTitleDeleted val="1"/>
    <c:plotArea>
      <c:layout/>
      <c:lineChart>
        <c:grouping val="standard"/>
        <c:ser>
          <c:idx val="0"/>
          <c:order val="0"/>
          <c:tx>
            <c:strRef>
              <c:f>'Data Entry'!$G$5</c:f>
              <c:strCache>
                <c:ptCount val="1"/>
                <c:pt idx="0">
                  <c:v>REVENUE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'Data Entry'!$B$6:$B$24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'Data Entry'!$G$6:$G$24</c:f>
              <c:numCache>
                <c:formatCode>"$"#,##0.00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</c:ser>
        <c:dLbls/>
        <c:marker val="1"/>
        <c:axId val="74788224"/>
        <c:axId val="74798208"/>
      </c:lineChart>
      <c:dateAx>
        <c:axId val="74788224"/>
        <c:scaling>
          <c:orientation val="minMax"/>
        </c:scaling>
        <c:delete val="1"/>
        <c:axPos val="b"/>
        <c:numFmt formatCode="mmm\ yyyy" sourceLinked="0"/>
        <c:tickLblPos val="nextTo"/>
        <c:crossAx val="74798208"/>
        <c:crosses val="autoZero"/>
        <c:auto val="1"/>
        <c:lblOffset val="100"/>
        <c:baseTimeUnit val="days"/>
        <c:majorUnit val="1"/>
        <c:majorTimeUnit val="months"/>
      </c:dateAx>
      <c:valAx>
        <c:axId val="74798208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$&quot;#,##0.0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74788224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Sales Forecast'!A1"/><Relationship Id="rId1" Type="http://schemas.openxmlformats.org/officeDocument/2006/relationships/hyperlink" Target="#'Sales Repor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ales Forecast'!A1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Sales Report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Data Entry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Sales Report" descr="Click to view Sales Report sheet.">
          <a:hlinkClick xmlns:r="http://schemas.openxmlformats.org/officeDocument/2006/relationships" r:id="rId1" tooltip="Click to view Sales Report sheet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Sales Report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Sales Forecast" descr="Click to view Sales Forecast sheet.">
          <a:hlinkClick xmlns:r="http://schemas.openxmlformats.org/officeDocument/2006/relationships" r:id="rId2" tooltip="Click to view Sales Forecast sheet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Sales Forecast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Sales Report" descr="Click to view Data Entry sheet.">
          <a:hlinkClick xmlns:r="http://schemas.openxmlformats.org/officeDocument/2006/relationships" r:id="rId1" tooltip="Click to view Data Entry sheet"/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Data Entry</a:t>
          </a: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Sales Forecast" descr="Click to view Sales Forecast sheet.">
          <a:hlinkClick xmlns:r="http://schemas.openxmlformats.org/officeDocument/2006/relationships" r:id="rId2" tooltip="Click to view Sales Forecast sheet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Sales Forecast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Sales History" descr="Sales histor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Month Forecast" descr="Month forecas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Quarter Forecast" descr="Quarter forecas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Year Forecast" descr="Year forecas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Revenue Stream" descr="Revenue stream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Sales Report" descr="Click to view Data Entry sheet.">
          <a:hlinkClick xmlns:r="http://schemas.openxmlformats.org/officeDocument/2006/relationships" r:id="rId6" tooltip="Click to view Data Entry sheet"/>
        </xdr:cNvPr>
        <xdr:cNvSpPr/>
      </xdr:nvSpPr>
      <xdr:spPr>
        <a:xfrm>
          <a:off x="46767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Data Entry</a:t>
          </a: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8</xdr:col>
      <xdr:colOff>212979</xdr:colOff>
      <xdr:row>1</xdr:row>
      <xdr:rowOff>314326</xdr:rowOff>
    </xdr:to>
    <xdr:sp macro="" textlink="">
      <xdr:nvSpPr>
        <xdr:cNvPr id="11" name="Sales Forecast" descr="Click to view Sales Report sheet.">
          <a:hlinkClick xmlns:r="http://schemas.openxmlformats.org/officeDocument/2006/relationships" r:id="rId7" tooltip="Click to view Sales Report sheet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Sales Report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ueBerry Labs" refreshedDate="42110.593592824072" createdVersion="5" refreshedVersion="3" minRefreshableVersion="3" recordCount="19">
  <cacheSource type="worksheet">
    <worksheetSource name="tblData"/>
  </cacheSource>
  <cacheFields count="16">
    <cacheField name="DATE" numFmtId="14">
      <sharedItems containsSemiMixedTypes="0" containsNonDate="0" containsDate="1" containsString="0" minDate="2013-04-23T00:00:00" maxDate="2013-12-12T00:00:00"/>
    </cacheField>
    <cacheField name="COMPANY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AMOUNT" numFmtId="164">
      <sharedItems containsSemiMixedTypes="0" containsString="0" containsNumber="1" containsInteger="1" minValue="4400" maxValue="9500"/>
    </cacheField>
    <cacheField name="PLANNED" numFmtId="164">
      <sharedItems containsSemiMixedTypes="0" containsString="0" containsNumber="1" containsInteger="1" minValue="4200" maxValue="10000"/>
    </cacheField>
    <cacheField name="COST" numFmtId="164">
      <sharedItems containsSemiMixedTypes="0" containsString="0" containsNumber="1" containsInteger="1" minValue="2600" maxValue="8500"/>
    </cacheField>
    <cacheField name="REVENUE" numFmtId="164">
      <sharedItems containsSemiMixedTypes="0" containsString="0" containsNumber="1" containsInteger="1" minValue="900" maxValue="1950"/>
    </cacheField>
    <cacheField name="MONTH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QUARTER" numFmtId="166">
      <sharedItems containsSemiMixedTypes="0" containsString="0" containsNumber="1" containsInteger="1" minValue="2" maxValue="4" count="3">
        <n v="2"/>
        <n v="3"/>
        <n v="4"/>
      </sharedItems>
    </cacheField>
    <cacheField name="YEAR" numFmtId="0">
      <sharedItems containsSemiMixedTypes="0" containsString="0" containsNumber="1" containsInteger="1" minValue="2013" maxValue="2013" count="1">
        <n v="2013"/>
      </sharedItems>
    </cacheField>
    <cacheField name="MONTH NUM (HIDE)" numFmtId="0">
      <sharedItems containsSemiMixedTypes="0" containsString="0" containsNumber="1" containsInteger="1" minValue="4" maxValue="12"/>
    </cacheField>
    <cacheField name="MONTH " numFmtId="164">
      <sharedItems containsSemiMixedTypes="0" containsString="0" containsNumber="1" containsInteger="1" minValue="8700" maxValue="25600"/>
    </cacheField>
    <cacheField name="QUARTER " numFmtId="164">
      <sharedItems containsSemiMixedTypes="0" containsString="0" containsNumber="1" containsInteger="1" minValue="43900" maxValue="50800"/>
    </cacheField>
    <cacheField name="YEARLY " numFmtId="164">
      <sharedItems containsSemiMixedTypes="0" containsString="0" containsNumber="1" containsInteger="1" minValue="143800" maxValue="143800"/>
    </cacheField>
    <cacheField name="MONTH  " numFmtId="164">
      <sharedItems containsSemiMixedTypes="0" containsString="0" containsNumber="1" minValue="10776.470588235294" maxValue="29000"/>
    </cacheField>
    <cacheField name="QUARTER  " numFmtId="164">
      <sharedItems containsSemiMixedTypes="0" containsString="0" containsNumber="1" minValue="41288.23529411765" maxValue="50800"/>
    </cacheField>
    <cacheField name="YEAR  " numFmtId="164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5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4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08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7" applyNumberFormats="0" applyBorderFormats="0" applyFontFormats="0" applyPatternFormats="0" applyAlignmentFormats="0" applyWidthHeightFormats="1" dataCaption="Values" updatedVersion="3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multipleItemSelectionAllowed="1" showAl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4" outline="0" showAl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axis="axisRow" compact="0" numFmtId="169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8" outline="0" showAll="0">
      <items count="4">
        <item x="0"/>
        <item x="1"/>
        <item x="2"/>
        <item t="default"/>
      </items>
    </pivotField>
    <pivotField axis="axisRow" compact="0" numFmtId="167" outline="0" showAll="0">
      <items count="2">
        <item x="0"/>
        <item t="default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TOTAL SALES" fld="2" baseField="1" baseItem="5" numFmtId="164"/>
  </dataFields>
  <formats count="8">
    <format dxfId="36">
      <pivotArea outline="0" collapsedLevelsAreSubtotals="1" fieldPosition="0">
        <references count="1">
          <reference field="8" count="0" selected="0" defaultSubtotal="1"/>
        </references>
      </pivotArea>
    </format>
    <format dxfId="35">
      <pivotArea dataOnly="0" labelOnly="1" outline="0" fieldPosition="0">
        <references count="1">
          <reference field="8" count="0" defaultSubtotal="1"/>
        </references>
      </pivotArea>
    </format>
    <format dxfId="34">
      <pivotArea dataOnly="0" labelOnly="1" outline="0" fieldPosition="0">
        <references count="1">
          <reference field="7" count="0"/>
        </references>
      </pivotArea>
    </format>
    <format dxfId="33">
      <pivotArea dataOnly="0" labelOnly="1" outline="0" fieldPosition="0">
        <references count="1">
          <reference field="6" count="0"/>
        </references>
      </pivotArea>
    </format>
    <format dxfId="32">
      <pivotArea dataOnly="0" labelOnly="1" outline="0" fieldPosition="0">
        <references count="1">
          <reference field="8" count="0"/>
        </references>
      </pivotArea>
    </format>
    <format dxfId="31">
      <pivotArea dataOnly="0" labelOnly="1" outline="0" axis="axisValues" fieldPosition="0"/>
    </format>
    <format dxfId="30">
      <pivotArea field="8" type="button" dataOnly="0" labelOnly="1" outline="0" axis="axisRow" fieldPosition="0"/>
    </format>
    <format dxfId="29">
      <pivotArea dataOnly="0" labelOnly="1" outline="0" axis="axisValues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1" dataDxfId="0" headerRowCellStyle="Heading 4">
  <autoFilter ref="B5:Q24"/>
  <tableColumns count="16">
    <tableColumn id="1" name="DATE" dataDxfId="17"/>
    <tableColumn id="2" name="COMPANY" dataDxfId="16"/>
    <tableColumn id="3" name="AMOUNT" dataDxfId="15"/>
    <tableColumn id="4" name="PLANNED" dataDxfId="14"/>
    <tableColumn id="5" name="COST" dataDxfId="13"/>
    <tableColumn id="16" name="REVENUE" dataDxfId="12">
      <calculatedColumnFormula>tblData[[#This Row],[AMOUNT]]-tblData[[#This Row],[COST]]</calculatedColumnFormula>
    </tableColumn>
    <tableColumn id="6" name="MONTH" dataDxfId="11">
      <calculatedColumnFormula>DATE(YEAR('Data Entry'!$B6),MONTH('Data Entry'!$B6),1)</calculatedColumnFormula>
    </tableColumn>
    <tableColumn id="7" name="QUARTER" dataDxfId="10">
      <calculatedColumnFormula>LOOKUP(MONTH('Data Entry'!$H6),{1,1;2,1;3,1;4,2;5,2;6,2;7,3;8,3;9,3;10,4;11,4;12,4})</calculatedColumnFormula>
    </tableColumn>
    <tableColumn id="8" name="YEAR" dataDxfId="9">
      <calculatedColumnFormula>YEAR('Data Entry'!$B6)</calculatedColumnFormula>
    </tableColumn>
    <tableColumn id="12" name="MONTH NUM (HIDE)" dataDxfId="8">
      <calculatedColumnFormula>MONTH(tblData[[#This Row],[DATE]])</calculatedColumnFormula>
    </tableColumn>
    <tableColumn id="9" name="MONTH " dataDxfId="7">
      <calculatedColumnFormula>SUMIFS([AMOUNT],[DATE],"&gt;="&amp;EOMONTH(tblData[[#This Row],[DATE]],-1)+1,[DATE],"&lt;="&amp;EOMONTH(tblData[[#This Row],[DATE]],0))</calculatedColumnFormula>
    </tableColumn>
    <tableColumn id="10" name="QUARTER " dataDxfId="6">
      <calculatedColumnFormula>SUMIFS([AMOUNT],[DATE],"&gt;="&amp;DATE(YEAR(tblData[[#This Row],[DATE]]),1,1),[DATE],"&lt;="&amp;DATE(YEAR(tblData[[#This Row],[DATE]]),12,31),[QUARTER],tblData[[#This Row],[QUARTER]])</calculatedColumnFormula>
    </tableColumn>
    <tableColumn id="11" name="YEARLY " dataDxfId="5">
      <calculatedColumnFormula>SUMIFS([AMOUNT],[DATE],"&gt;="&amp;DATE(YEAR(tblData[[#This Row],[DATE]]),1,1),[DATE],"&lt;="&amp;DATE(YEAR(tblData[[#This Row],[DATE]]),12,31))</calculatedColumnFormula>
    </tableColumn>
    <tableColumn id="13" name="MONTH  " dataDxfId="4">
      <calculatedColumnFormula>IFERROR(TREND($L$6:INDEX($L:$L,ROW(),1),$K$6:INDEX($K:$K,ROW(),1),IF(MONTH(tblData[[#This Row],[DATE]])=12,13,MONTH(tblData[[#This Row],[DATE]])+1)),"")</calculatedColumnFormula>
    </tableColumn>
    <tableColumn id="14" name="QUARTER  " dataDxfId="3">
      <calculatedColumnFormula>IFERROR(TREND($M$6:INDEX($M:$M,ROW(),1),$I$6:INDEX($I:$I,ROW(),1),IF(tblData[[#This Row],[QUARTER]]=4,5,tblData[[#This Row],[QUARTER]]+1)),"")</calculatedColumnFormula>
    </tableColumn>
    <tableColumn id="15" name="YEAR  " dataDxfId="2">
      <calculatedColumnFormula>IFERROR(TREND($N$6:INDEX($N:$N,ROW(),1),$J$6:INDEX($J:$J,ROW(),1),tblData[[#This Row],[YEAR]]+1),"")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Monthly Data Entry Table" altTextSummary="Enter monthly data in this table such as Date, Company, Amount, Planned, Cost, Revenue, Month, Quarter, and Year. Current and forecasted data will be calculated for you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Q24"/>
  <sheetViews>
    <sheetView showGridLines="0" tabSelected="1" topLeftCell="A10" workbookViewId="0">
      <selection activeCell="N3" sqref="N3"/>
    </sheetView>
  </sheetViews>
  <sheetFormatPr defaultRowHeight="25.5" customHeight="1"/>
  <cols>
    <col min="1" max="1" width="2" style="56" customWidth="1"/>
    <col min="2" max="2" width="12.1640625" style="56" customWidth="1"/>
    <col min="3" max="3" width="27.1640625" style="56" customWidth="1"/>
    <col min="4" max="4" width="15.6640625" style="56" customWidth="1"/>
    <col min="5" max="5" width="16.6640625" style="56" customWidth="1"/>
    <col min="6" max="6" width="12.83203125" style="56" customWidth="1"/>
    <col min="7" max="7" width="16.83203125" style="56" customWidth="1"/>
    <col min="8" max="8" width="14.33203125" style="56" customWidth="1"/>
    <col min="9" max="9" width="17.5" style="56" customWidth="1"/>
    <col min="10" max="10" width="12.83203125" style="56" customWidth="1"/>
    <col min="11" max="11" width="12.83203125" style="56" hidden="1" customWidth="1"/>
    <col min="12" max="12" width="13.83203125" style="56" customWidth="1"/>
    <col min="13" max="13" width="16.33203125" style="56" customWidth="1"/>
    <col min="14" max="14" width="13.83203125" style="56" customWidth="1"/>
    <col min="15" max="15" width="14" style="56" customWidth="1"/>
    <col min="16" max="16" width="16.6640625" style="56" customWidth="1"/>
    <col min="17" max="17" width="12.6640625" style="56" customWidth="1"/>
    <col min="18" max="16384" width="9.33203125" style="56"/>
  </cols>
  <sheetData>
    <row r="1" spans="2:17" s="50" customFormat="1" ht="25.5" customHeight="1">
      <c r="J1" s="50">
        <f>365*2</f>
        <v>730</v>
      </c>
    </row>
    <row r="2" spans="2:17" s="50" customFormat="1" ht="25.5" customHeight="1">
      <c r="B2" s="49" t="s">
        <v>56</v>
      </c>
    </row>
    <row r="3" spans="2:17" s="50" customFormat="1" ht="25.5" customHeight="1">
      <c r="L3" s="51" t="s">
        <v>32</v>
      </c>
      <c r="M3" s="51"/>
      <c r="N3" s="51"/>
      <c r="O3" s="51" t="s">
        <v>31</v>
      </c>
      <c r="P3" s="51"/>
      <c r="Q3" s="51"/>
    </row>
    <row r="4" spans="2:17" s="50" customFormat="1" ht="25.5" customHeight="1">
      <c r="L4" s="52"/>
      <c r="M4" s="53"/>
      <c r="N4" s="54"/>
      <c r="O4" s="52"/>
      <c r="P4" s="53"/>
      <c r="Q4" s="54"/>
    </row>
    <row r="5" spans="2:17" ht="25.5" customHeight="1">
      <c r="B5" s="55" t="s">
        <v>24</v>
      </c>
      <c r="C5" s="55" t="s">
        <v>25</v>
      </c>
      <c r="D5" s="55" t="s">
        <v>26</v>
      </c>
      <c r="E5" s="55" t="s">
        <v>27</v>
      </c>
      <c r="F5" s="55" t="s">
        <v>28</v>
      </c>
      <c r="G5" s="55" t="s">
        <v>29</v>
      </c>
      <c r="H5" s="55" t="s">
        <v>15</v>
      </c>
      <c r="I5" s="55" t="s">
        <v>16</v>
      </c>
      <c r="J5" s="55" t="s">
        <v>20</v>
      </c>
      <c r="K5" s="55" t="s">
        <v>30</v>
      </c>
      <c r="L5" s="55" t="s">
        <v>17</v>
      </c>
      <c r="M5" s="55" t="s">
        <v>18</v>
      </c>
      <c r="N5" s="55" t="s">
        <v>19</v>
      </c>
      <c r="O5" s="55" t="s">
        <v>21</v>
      </c>
      <c r="P5" s="55" t="s">
        <v>22</v>
      </c>
      <c r="Q5" s="55" t="s">
        <v>23</v>
      </c>
    </row>
    <row r="6" spans="2:17" ht="25.5" customHeight="1">
      <c r="B6" s="64">
        <f>40657+(365*2)</f>
        <v>41387</v>
      </c>
      <c r="C6" s="65" t="s">
        <v>0</v>
      </c>
      <c r="D6" s="66">
        <v>6400</v>
      </c>
      <c r="E6" s="66">
        <v>6200</v>
      </c>
      <c r="F6" s="66">
        <v>4450</v>
      </c>
      <c r="G6" s="57">
        <f>tblData[[#This Row],[AMOUNT]]-tblData[[#This Row],[COST]]</f>
        <v>1950</v>
      </c>
      <c r="H6" s="58">
        <f>DATE(YEAR('Data Entry'!$B6),MONTH('Data Entry'!$B6),1)</f>
        <v>41365</v>
      </c>
      <c r="I6" s="59">
        <f>LOOKUP(MONTH('Data Entry'!$H6),{1,1;2,1;3,1;4,2;5,2;6,2;7,3;8,3;9,3;10,4;11,4;12,4})</f>
        <v>2</v>
      </c>
      <c r="J6" s="60">
        <f>YEAR('Data Entry'!$B6)</f>
        <v>2013</v>
      </c>
      <c r="K6" s="61">
        <f>MONTH(tblData[[#This Row],[DATE]])</f>
        <v>4</v>
      </c>
      <c r="L6" s="62">
        <f>SUMIFS([AMOUNT],[DATE],"&gt;="&amp;EOMONTH(tblData[[#This Row],[DATE]],-1)+1,[DATE],"&lt;="&amp;EOMONTH(tblData[[#This Row],[DATE]],0))</f>
        <v>14600</v>
      </c>
      <c r="M6" s="62">
        <f>SUMIFS([AMOUNT],[DATE],"&gt;="&amp;DATE(YEAR(tblData[[#This Row],[DATE]]),1,1),[DATE],"&lt;="&amp;DATE(YEAR(tblData[[#This Row],[DATE]]),12,31),[QUARTER],tblData[[#This Row],[QUARTER]])</f>
        <v>50800</v>
      </c>
      <c r="N6" s="62">
        <f>SUMIFS([AMOUNT],[DATE],"&gt;="&amp;DATE(YEAR(tblData[[#This Row],[DATE]]),1,1),[DATE],"&lt;="&amp;DATE(YEAR(tblData[[#This Row],[DATE]]),12,31))</f>
        <v>143800</v>
      </c>
      <c r="O6" s="63">
        <f>IFERROR(TREND($L$6:INDEX($L:$L,ROW(),1),$K$6:INDEX($K:$K,ROW(),1),IF(MONTH(tblData[[#This Row],[DATE]])=12,13,MONTH(tblData[[#This Row],[DATE]])+1)),"")</f>
        <v>14600</v>
      </c>
      <c r="P6" s="63">
        <f>IFERROR(TREND($M$6:INDEX($M:$M,ROW(),1),$I$6:INDEX($I:$I,ROW(),1),IF(tblData[[#This Row],[QUARTER]]=4,5,tblData[[#This Row],[QUARTER]]+1)),"")</f>
        <v>50800</v>
      </c>
      <c r="Q6" s="63">
        <f>IFERROR(TREND($N$6:INDEX($N:$N,ROW(),1),$J$6:INDEX($J:$J,ROW(),1),tblData[[#This Row],[YEAR]]+1),"")</f>
        <v>143800</v>
      </c>
    </row>
    <row r="7" spans="2:17" ht="25.5" customHeight="1">
      <c r="B7" s="64">
        <f>40659+(365*2)</f>
        <v>41389</v>
      </c>
      <c r="C7" s="65" t="s">
        <v>1</v>
      </c>
      <c r="D7" s="66">
        <v>8200</v>
      </c>
      <c r="E7" s="66">
        <v>8000</v>
      </c>
      <c r="F7" s="66">
        <v>6400</v>
      </c>
      <c r="G7" s="57">
        <f>tblData[[#This Row],[AMOUNT]]-tblData[[#This Row],[COST]]</f>
        <v>1800</v>
      </c>
      <c r="H7" s="58">
        <f>DATE(YEAR('Data Entry'!$B7),MONTH('Data Entry'!$B7),1)</f>
        <v>41365</v>
      </c>
      <c r="I7" s="59">
        <f>LOOKUP(MONTH('Data Entry'!$H7),{1,1;2,1;3,1;4,2;5,2;6,2;7,3;8,3;9,3;10,4;11,4;12,4})</f>
        <v>2</v>
      </c>
      <c r="J7" s="60">
        <f>YEAR('Data Entry'!$B7)</f>
        <v>2013</v>
      </c>
      <c r="K7" s="61">
        <f>MONTH(tblData[[#This Row],[DATE]])</f>
        <v>4</v>
      </c>
      <c r="L7" s="62">
        <f>SUMIFS([AMOUNT],[DATE],"&gt;="&amp;EOMONTH(tblData[[#This Row],[DATE]],-1)+1,[DATE],"&lt;="&amp;EOMONTH(tblData[[#This Row],[DATE]],0))</f>
        <v>14600</v>
      </c>
      <c r="M7" s="62">
        <f>SUMIFS([AMOUNT],[DATE],"&gt;="&amp;DATE(YEAR(tblData[[#This Row],[DATE]]),1,1),[DATE],"&lt;="&amp;DATE(YEAR(tblData[[#This Row],[DATE]]),12,31),[QUARTER],tblData[[#This Row],[QUARTER]])</f>
        <v>50800</v>
      </c>
      <c r="N7" s="62">
        <f>SUMIFS([AMOUNT],[DATE],"&gt;="&amp;DATE(YEAR(tblData[[#This Row],[DATE]]),1,1),[DATE],"&lt;="&amp;DATE(YEAR(tblData[[#This Row],[DATE]]),12,31))</f>
        <v>143800</v>
      </c>
      <c r="O7" s="63">
        <f>IFERROR(TREND($L$6:INDEX($L:$L,ROW(),1),$K$6:INDEX($K:$K,ROW(),1),IF(MONTH(tblData[[#This Row],[DATE]])=12,13,MONTH(tblData[[#This Row],[DATE]])+1)),"")</f>
        <v>14600</v>
      </c>
      <c r="P7" s="63">
        <f>IFERROR(TREND($M$6:INDEX($M:$M,ROW(),1),$I$6:INDEX($I:$I,ROW(),1),IF(tblData[[#This Row],[QUARTER]]=4,5,tblData[[#This Row],[QUARTER]]+1)),"")</f>
        <v>50800</v>
      </c>
      <c r="Q7" s="63">
        <f>IFERROR(TREND($N$6:INDEX($N:$N,ROW(),1),$J$6:INDEX($J:$J,ROW(),1),tblData[[#This Row],[YEAR]]+1),"")</f>
        <v>143800</v>
      </c>
    </row>
    <row r="8" spans="2:17" ht="25.5" customHeight="1">
      <c r="B8" s="64">
        <f>40671+(365*2)</f>
        <v>41401</v>
      </c>
      <c r="C8" s="65" t="s">
        <v>2</v>
      </c>
      <c r="D8" s="66">
        <v>4400</v>
      </c>
      <c r="E8" s="66">
        <v>4200</v>
      </c>
      <c r="F8" s="66">
        <v>2600</v>
      </c>
      <c r="G8" s="57">
        <f>tblData[[#This Row],[AMOUNT]]-tblData[[#This Row],[COST]]</f>
        <v>1800</v>
      </c>
      <c r="H8" s="58">
        <f>DATE(YEAR('Data Entry'!$B8),MONTH('Data Entry'!$B8),1)</f>
        <v>41395</v>
      </c>
      <c r="I8" s="59">
        <f>LOOKUP(MONTH('Data Entry'!$H8),{1,1;2,1;3,1;4,2;5,2;6,2;7,3;8,3;9,3;10,4;11,4;12,4})</f>
        <v>2</v>
      </c>
      <c r="J8" s="60">
        <f>YEAR('Data Entry'!$B8)</f>
        <v>2013</v>
      </c>
      <c r="K8" s="61">
        <f>MONTH(tblData[[#This Row],[DATE]])</f>
        <v>5</v>
      </c>
      <c r="L8" s="62">
        <f>SUMIFS([AMOUNT],[DATE],"&gt;="&amp;EOMONTH(tblData[[#This Row],[DATE]],-1)+1,[DATE],"&lt;="&amp;EOMONTH(tblData[[#This Row],[DATE]],0))</f>
        <v>21800</v>
      </c>
      <c r="M8" s="62">
        <f>SUMIFS([AMOUNT],[DATE],"&gt;="&amp;DATE(YEAR(tblData[[#This Row],[DATE]]),1,1),[DATE],"&lt;="&amp;DATE(YEAR(tblData[[#This Row],[DATE]]),12,31),[QUARTER],tblData[[#This Row],[QUARTER]])</f>
        <v>50800</v>
      </c>
      <c r="N8" s="62">
        <f>SUMIFS([AMOUNT],[DATE],"&gt;="&amp;DATE(YEAR(tblData[[#This Row],[DATE]]),1,1),[DATE],"&lt;="&amp;DATE(YEAR(tblData[[#This Row],[DATE]]),12,31))</f>
        <v>143800</v>
      </c>
      <c r="O8" s="63">
        <f>IFERROR(TREND($L$6:INDEX($L:$L,ROW(),1),$K$6:INDEX($K:$K,ROW(),1),IF(MONTH(tblData[[#This Row],[DATE]])=12,13,MONTH(tblData[[#This Row],[DATE]])+1)),"")</f>
        <v>28999.999999999996</v>
      </c>
      <c r="P8" s="63">
        <f>IFERROR(TREND($M$6:INDEX($M:$M,ROW(),1),$I$6:INDEX($I:$I,ROW(),1),IF(tblData[[#This Row],[QUARTER]]=4,5,tblData[[#This Row],[QUARTER]]+1)),"")</f>
        <v>50800</v>
      </c>
      <c r="Q8" s="63">
        <f>IFERROR(TREND($N$6:INDEX($N:$N,ROW(),1),$J$6:INDEX($J:$J,ROW(),1),tblData[[#This Row],[YEAR]]+1),"")</f>
        <v>143800</v>
      </c>
    </row>
    <row r="9" spans="2:17" ht="25.5" customHeight="1">
      <c r="B9" s="64">
        <f>40678+(365*2)</f>
        <v>41408</v>
      </c>
      <c r="C9" s="65" t="s">
        <v>3</v>
      </c>
      <c r="D9" s="66">
        <v>5400</v>
      </c>
      <c r="E9" s="66">
        <v>5500</v>
      </c>
      <c r="F9" s="66">
        <v>4500</v>
      </c>
      <c r="G9" s="57">
        <f>tblData[[#This Row],[AMOUNT]]-tblData[[#This Row],[COST]]</f>
        <v>900</v>
      </c>
      <c r="H9" s="58">
        <f>DATE(YEAR('Data Entry'!$B9),MONTH('Data Entry'!$B9),1)</f>
        <v>41395</v>
      </c>
      <c r="I9" s="59">
        <f>LOOKUP(MONTH('Data Entry'!$H9),{1,1;2,1;3,1;4,2;5,2;6,2;7,3;8,3;9,3;10,4;11,4;12,4})</f>
        <v>2</v>
      </c>
      <c r="J9" s="60">
        <f>YEAR('Data Entry'!$B9)</f>
        <v>2013</v>
      </c>
      <c r="K9" s="61">
        <f>MONTH(tblData[[#This Row],[DATE]])</f>
        <v>5</v>
      </c>
      <c r="L9" s="62">
        <f>SUMIFS([AMOUNT],[DATE],"&gt;="&amp;EOMONTH(tblData[[#This Row],[DATE]],-1)+1,[DATE],"&lt;="&amp;EOMONTH(tblData[[#This Row],[DATE]],0))</f>
        <v>21800</v>
      </c>
      <c r="M9" s="62">
        <f>SUMIFS([AMOUNT],[DATE],"&gt;="&amp;DATE(YEAR(tblData[[#This Row],[DATE]]),1,1),[DATE],"&lt;="&amp;DATE(YEAR(tblData[[#This Row],[DATE]]),12,31),[QUARTER],tblData[[#This Row],[QUARTER]])</f>
        <v>50800</v>
      </c>
      <c r="N9" s="62">
        <f>SUMIFS([AMOUNT],[DATE],"&gt;="&amp;DATE(YEAR(tblData[[#This Row],[DATE]]),1,1),[DATE],"&lt;="&amp;DATE(YEAR(tblData[[#This Row],[DATE]]),12,31))</f>
        <v>143800</v>
      </c>
      <c r="O9" s="63">
        <f>IFERROR(TREND($L$6:INDEX($L:$L,ROW(),1),$K$6:INDEX($K:$K,ROW(),1),IF(MONTH(tblData[[#This Row],[DATE]])=12,13,MONTH(tblData[[#This Row],[DATE]])+1)),"")</f>
        <v>29000</v>
      </c>
      <c r="P9" s="63">
        <f>IFERROR(TREND($M$6:INDEX($M:$M,ROW(),1),$I$6:INDEX($I:$I,ROW(),1),IF(tblData[[#This Row],[QUARTER]]=4,5,tblData[[#This Row],[QUARTER]]+1)),"")</f>
        <v>50800</v>
      </c>
      <c r="Q9" s="63">
        <f>IFERROR(TREND($N$6:INDEX($N:$N,ROW(),1),$J$6:INDEX($J:$J,ROW(),1),tblData[[#This Row],[YEAR]]+1),"")</f>
        <v>143800</v>
      </c>
    </row>
    <row r="10" spans="2:17" ht="25.5" customHeight="1">
      <c r="B10" s="64">
        <f>40678+(365*2)</f>
        <v>41408</v>
      </c>
      <c r="C10" s="65" t="s">
        <v>4</v>
      </c>
      <c r="D10" s="66">
        <v>5800</v>
      </c>
      <c r="E10" s="66">
        <v>6000</v>
      </c>
      <c r="F10" s="66">
        <v>4500</v>
      </c>
      <c r="G10" s="57">
        <f>tblData[[#This Row],[AMOUNT]]-tblData[[#This Row],[COST]]</f>
        <v>1300</v>
      </c>
      <c r="H10" s="58">
        <f>DATE(YEAR('Data Entry'!$B10),MONTH('Data Entry'!$B10),1)</f>
        <v>41395</v>
      </c>
      <c r="I10" s="59">
        <f>LOOKUP(MONTH('Data Entry'!$H10),{1,1;2,1;3,1;4,2;5,2;6,2;7,3;8,3;9,3;10,4;11,4;12,4})</f>
        <v>2</v>
      </c>
      <c r="J10" s="60">
        <f>YEAR('Data Entry'!$B10)</f>
        <v>2013</v>
      </c>
      <c r="K10" s="61">
        <f>MONTH(tblData[[#This Row],[DATE]])</f>
        <v>5</v>
      </c>
      <c r="L10" s="62">
        <f>SUMIFS([AMOUNT],[DATE],"&gt;="&amp;EOMONTH(tblData[[#This Row],[DATE]],-1)+1,[DATE],"&lt;="&amp;EOMONTH(tblData[[#This Row],[DATE]],0))</f>
        <v>21800</v>
      </c>
      <c r="M10" s="62">
        <f>SUMIFS([AMOUNT],[DATE],"&gt;="&amp;DATE(YEAR(tblData[[#This Row],[DATE]]),1,1),[DATE],"&lt;="&amp;DATE(YEAR(tblData[[#This Row],[DATE]]),12,31),[QUARTER],tblData[[#This Row],[QUARTER]])</f>
        <v>50800</v>
      </c>
      <c r="N10" s="62">
        <f>SUMIFS([AMOUNT],[DATE],"&gt;="&amp;DATE(YEAR(tblData[[#This Row],[DATE]]),1,1),[DATE],"&lt;="&amp;DATE(YEAR(tblData[[#This Row],[DATE]]),12,31))</f>
        <v>143800</v>
      </c>
      <c r="O10" s="63">
        <f>IFERROR(TREND($L$6:INDEX($L:$L,ROW(),1),$K$6:INDEX($K:$K,ROW(),1),IF(MONTH(tblData[[#This Row],[DATE]])=12,13,MONTH(tblData[[#This Row],[DATE]])+1)),"")</f>
        <v>29000</v>
      </c>
      <c r="P10" s="63">
        <f>IFERROR(TREND($M$6:INDEX($M:$M,ROW(),1),$I$6:INDEX($I:$I,ROW(),1),IF(tblData[[#This Row],[QUARTER]]=4,5,tblData[[#This Row],[QUARTER]]+1)),"")</f>
        <v>50800</v>
      </c>
      <c r="Q10" s="63">
        <f>IFERROR(TREND($N$6:INDEX($N:$N,ROW(),1),$J$6:INDEX($J:$J,ROW(),1),tblData[[#This Row],[YEAR]]+1),"")</f>
        <v>143800</v>
      </c>
    </row>
    <row r="11" spans="2:17" ht="25.5" customHeight="1">
      <c r="B11" s="64">
        <f>40693+(365*2)</f>
        <v>41423</v>
      </c>
      <c r="C11" s="65" t="s">
        <v>5</v>
      </c>
      <c r="D11" s="66">
        <v>6200</v>
      </c>
      <c r="E11" s="66">
        <v>6000</v>
      </c>
      <c r="F11" s="66">
        <v>4500</v>
      </c>
      <c r="G11" s="57">
        <f>tblData[[#This Row],[AMOUNT]]-tblData[[#This Row],[COST]]</f>
        <v>1700</v>
      </c>
      <c r="H11" s="58">
        <f>DATE(YEAR('Data Entry'!$B11),MONTH('Data Entry'!$B11),1)</f>
        <v>41395</v>
      </c>
      <c r="I11" s="59">
        <f>LOOKUP(MONTH('Data Entry'!$H11),{1,1;2,1;3,1;4,2;5,2;6,2;7,3;8,3;9,3;10,4;11,4;12,4})</f>
        <v>2</v>
      </c>
      <c r="J11" s="60">
        <f>YEAR('Data Entry'!$B11)</f>
        <v>2013</v>
      </c>
      <c r="K11" s="61">
        <f>MONTH(tblData[[#This Row],[DATE]])</f>
        <v>5</v>
      </c>
      <c r="L11" s="62">
        <f>SUMIFS([AMOUNT],[DATE],"&gt;="&amp;EOMONTH(tblData[[#This Row],[DATE]],-1)+1,[DATE],"&lt;="&amp;EOMONTH(tblData[[#This Row],[DATE]],0))</f>
        <v>21800</v>
      </c>
      <c r="M11" s="62">
        <f>SUMIFS([AMOUNT],[DATE],"&gt;="&amp;DATE(YEAR(tblData[[#This Row],[DATE]]),1,1),[DATE],"&lt;="&amp;DATE(YEAR(tblData[[#This Row],[DATE]]),12,31),[QUARTER],tblData[[#This Row],[QUARTER]])</f>
        <v>50800</v>
      </c>
      <c r="N11" s="62">
        <f>SUMIFS([AMOUNT],[DATE],"&gt;="&amp;DATE(YEAR(tblData[[#This Row],[DATE]]),1,1),[DATE],"&lt;="&amp;DATE(YEAR(tblData[[#This Row],[DATE]]),12,31))</f>
        <v>143800</v>
      </c>
      <c r="O11" s="63">
        <f>IFERROR(TREND($L$6:INDEX($L:$L,ROW(),1),$K$6:INDEX($K:$K,ROW(),1),IF(MONTH(tblData[[#This Row],[DATE]])=12,13,MONTH(tblData[[#This Row],[DATE]])+1)),"")</f>
        <v>29000</v>
      </c>
      <c r="P11" s="63">
        <f>IFERROR(TREND($M$6:INDEX($M:$M,ROW(),1),$I$6:INDEX($I:$I,ROW(),1),IF(tblData[[#This Row],[QUARTER]]=4,5,tblData[[#This Row],[QUARTER]]+1)),"")</f>
        <v>50800</v>
      </c>
      <c r="Q11" s="63">
        <f>IFERROR(TREND($N$6:INDEX($N:$N,ROW(),1),$J$6:INDEX($J:$J,ROW(),1),tblData[[#This Row],[YEAR]]+1),"")</f>
        <v>143800</v>
      </c>
    </row>
    <row r="12" spans="2:17" ht="25.5" customHeight="1">
      <c r="B12" s="64">
        <f>40705+(365*2)</f>
        <v>41435</v>
      </c>
      <c r="C12" s="65" t="s">
        <v>0</v>
      </c>
      <c r="D12" s="66">
        <v>6900</v>
      </c>
      <c r="E12" s="66">
        <v>7500</v>
      </c>
      <c r="F12" s="66">
        <v>5400</v>
      </c>
      <c r="G12" s="57">
        <f>tblData[[#This Row],[AMOUNT]]-tblData[[#This Row],[COST]]</f>
        <v>1500</v>
      </c>
      <c r="H12" s="58">
        <f>DATE(YEAR('Data Entry'!$B12),MONTH('Data Entry'!$B12),1)</f>
        <v>41426</v>
      </c>
      <c r="I12" s="59">
        <f>LOOKUP(MONTH('Data Entry'!$H12),{1,1;2,1;3,1;4,2;5,2;6,2;7,3;8,3;9,3;10,4;11,4;12,4})</f>
        <v>2</v>
      </c>
      <c r="J12" s="60">
        <f>YEAR('Data Entry'!$B12)</f>
        <v>2013</v>
      </c>
      <c r="K12" s="61">
        <f>MONTH(tblData[[#This Row],[DATE]])</f>
        <v>6</v>
      </c>
      <c r="L12" s="62">
        <f>SUMIFS([AMOUNT],[DATE],"&gt;="&amp;EOMONTH(tblData[[#This Row],[DATE]],-1)+1,[DATE],"&lt;="&amp;EOMONTH(tblData[[#This Row],[DATE]],0))</f>
        <v>14400</v>
      </c>
      <c r="M12" s="62">
        <f>SUMIFS([AMOUNT],[DATE],"&gt;="&amp;DATE(YEAR(tblData[[#This Row],[DATE]]),1,1),[DATE],"&lt;="&amp;DATE(YEAR(tblData[[#This Row],[DATE]]),12,31),[QUARTER],tblData[[#This Row],[QUARTER]])</f>
        <v>50800</v>
      </c>
      <c r="N12" s="62">
        <f>SUMIFS([AMOUNT],[DATE],"&gt;="&amp;DATE(YEAR(tblData[[#This Row],[DATE]]),1,1),[DATE],"&lt;="&amp;DATE(YEAR(tblData[[#This Row],[DATE]]),12,31))</f>
        <v>143800</v>
      </c>
      <c r="O12" s="63">
        <f>IFERROR(TREND($L$6:INDEX($L:$L,ROW(),1),$K$6:INDEX($K:$K,ROW(),1),IF(MONTH(tblData[[#This Row],[DATE]])=12,13,MONTH(tblData[[#This Row],[DATE]])+1)),"")</f>
        <v>21600.000000000004</v>
      </c>
      <c r="P12" s="63">
        <f>IFERROR(TREND($M$6:INDEX($M:$M,ROW(),1),$I$6:INDEX($I:$I,ROW(),1),IF(tblData[[#This Row],[QUARTER]]=4,5,tblData[[#This Row],[QUARTER]]+1)),"")</f>
        <v>50800</v>
      </c>
      <c r="Q12" s="63">
        <f>IFERROR(TREND($N$6:INDEX($N:$N,ROW(),1),$J$6:INDEX($J:$J,ROW(),1),tblData[[#This Row],[YEAR]]+1),"")</f>
        <v>143800</v>
      </c>
    </row>
    <row r="13" spans="2:17" ht="25.5" customHeight="1">
      <c r="B13" s="64">
        <f>40716+(365*2)</f>
        <v>41446</v>
      </c>
      <c r="C13" s="65" t="s">
        <v>1</v>
      </c>
      <c r="D13" s="66">
        <v>7500</v>
      </c>
      <c r="E13" s="66">
        <v>7200</v>
      </c>
      <c r="F13" s="66">
        <v>6500</v>
      </c>
      <c r="G13" s="57">
        <f>tblData[[#This Row],[AMOUNT]]-tblData[[#This Row],[COST]]</f>
        <v>1000</v>
      </c>
      <c r="H13" s="58">
        <f>DATE(YEAR('Data Entry'!$B13),MONTH('Data Entry'!$B13),1)</f>
        <v>41426</v>
      </c>
      <c r="I13" s="59">
        <f>LOOKUP(MONTH('Data Entry'!$H13),{1,1;2,1;3,1;4,2;5,2;6,2;7,3;8,3;9,3;10,4;11,4;12,4})</f>
        <v>2</v>
      </c>
      <c r="J13" s="60">
        <f>YEAR('Data Entry'!$B13)</f>
        <v>2013</v>
      </c>
      <c r="K13" s="61">
        <f>MONTH(tblData[[#This Row],[DATE]])</f>
        <v>6</v>
      </c>
      <c r="L13" s="62">
        <f>SUMIFS([AMOUNT],[DATE],"&gt;="&amp;EOMONTH(tblData[[#This Row],[DATE]],-1)+1,[DATE],"&lt;="&amp;EOMONTH(tblData[[#This Row],[DATE]],0))</f>
        <v>14400</v>
      </c>
      <c r="M13" s="62">
        <f>SUMIFS([AMOUNT],[DATE],"&gt;="&amp;DATE(YEAR(tblData[[#This Row],[DATE]]),1,1),[DATE],"&lt;="&amp;DATE(YEAR(tblData[[#This Row],[DATE]]),12,31),[QUARTER],tblData[[#This Row],[QUARTER]])</f>
        <v>50800</v>
      </c>
      <c r="N13" s="62">
        <f>SUMIFS([AMOUNT],[DATE],"&gt;="&amp;DATE(YEAR(tblData[[#This Row],[DATE]]),1,1),[DATE],"&lt;="&amp;DATE(YEAR(tblData[[#This Row],[DATE]]),12,31))</f>
        <v>143800</v>
      </c>
      <c r="O13" s="63">
        <f>IFERROR(TREND($L$6:INDEX($L:$L,ROW(),1),$K$6:INDEX($K:$K,ROW(),1),IF(MONTH(tblData[[#This Row],[DATE]])=12,13,MONTH(tblData[[#This Row],[DATE]])+1)),"")</f>
        <v>17950</v>
      </c>
      <c r="P13" s="63">
        <f>IFERROR(TREND($M$6:INDEX($M:$M,ROW(),1),$I$6:INDEX($I:$I,ROW(),1),IF(tblData[[#This Row],[QUARTER]]=4,5,tblData[[#This Row],[QUARTER]]+1)),"")</f>
        <v>50800</v>
      </c>
      <c r="Q13" s="63">
        <f>IFERROR(TREND($N$6:INDEX($N:$N,ROW(),1),$J$6:INDEX($J:$J,ROW(),1),tblData[[#This Row],[YEAR]]+1),"")</f>
        <v>143800</v>
      </c>
    </row>
    <row r="14" spans="2:17" ht="25.5" customHeight="1">
      <c r="B14" s="64">
        <f>40731+(365*2)</f>
        <v>41461</v>
      </c>
      <c r="C14" s="65" t="s">
        <v>2</v>
      </c>
      <c r="D14" s="66">
        <v>8700</v>
      </c>
      <c r="E14" s="66">
        <v>8500</v>
      </c>
      <c r="F14" s="66">
        <v>7250</v>
      </c>
      <c r="G14" s="57">
        <f>tblData[[#This Row],[AMOUNT]]-tblData[[#This Row],[COST]]</f>
        <v>1450</v>
      </c>
      <c r="H14" s="58">
        <f>DATE(YEAR('Data Entry'!$B14),MONTH('Data Entry'!$B14),1)</f>
        <v>41456</v>
      </c>
      <c r="I14" s="59">
        <f>LOOKUP(MONTH('Data Entry'!$H14),{1,1;2,1;3,1;4,2;5,2;6,2;7,3;8,3;9,3;10,4;11,4;12,4})</f>
        <v>3</v>
      </c>
      <c r="J14" s="60">
        <f>YEAR('Data Entry'!$B14)</f>
        <v>2013</v>
      </c>
      <c r="K14" s="61">
        <f>MONTH(tblData[[#This Row],[DATE]])</f>
        <v>7</v>
      </c>
      <c r="L14" s="62">
        <f>SUMIFS([AMOUNT],[DATE],"&gt;="&amp;EOMONTH(tblData[[#This Row],[DATE]],-1)+1,[DATE],"&lt;="&amp;EOMONTH(tblData[[#This Row],[DATE]],0))</f>
        <v>8700</v>
      </c>
      <c r="M14" s="62">
        <f>SUMIFS([AMOUNT],[DATE],"&gt;="&amp;DATE(YEAR(tblData[[#This Row],[DATE]]),1,1),[DATE],"&lt;="&amp;DATE(YEAR(tblData[[#This Row],[DATE]]),12,31),[QUARTER],tblData[[#This Row],[QUARTER]])</f>
        <v>49100</v>
      </c>
      <c r="N14" s="62">
        <f>SUMIFS([AMOUNT],[DATE],"&gt;="&amp;DATE(YEAR(tblData[[#This Row],[DATE]]),1,1),[DATE],"&lt;="&amp;DATE(YEAR(tblData[[#This Row],[DATE]]),12,31))</f>
        <v>143800</v>
      </c>
      <c r="O14" s="63">
        <f>IFERROR(TREND($L$6:INDEX($L:$L,ROW(),1),$K$6:INDEX($K:$K,ROW(),1),IF(MONTH(tblData[[#This Row],[DATE]])=12,13,MONTH(tblData[[#This Row],[DATE]])+1)),"")</f>
        <v>10776.470588235294</v>
      </c>
      <c r="P14" s="63">
        <f>IFERROR(TREND($M$6:INDEX($M:$M,ROW(),1),$I$6:INDEX($I:$I,ROW(),1),IF(tblData[[#This Row],[QUARTER]]=4,5,tblData[[#This Row],[QUARTER]]+1)),"")</f>
        <v>47400</v>
      </c>
      <c r="Q14" s="63">
        <f>IFERROR(TREND($N$6:INDEX($N:$N,ROW(),1),$J$6:INDEX($J:$J,ROW(),1),tblData[[#This Row],[YEAR]]+1),"")</f>
        <v>143800</v>
      </c>
    </row>
    <row r="15" spans="2:17" ht="25.5" customHeight="1">
      <c r="B15" s="64">
        <f>40761+(365*2)</f>
        <v>41491</v>
      </c>
      <c r="C15" s="65" t="s">
        <v>3</v>
      </c>
      <c r="D15" s="66">
        <v>8500</v>
      </c>
      <c r="E15" s="66">
        <v>8300</v>
      </c>
      <c r="F15" s="66">
        <v>7100</v>
      </c>
      <c r="G15" s="57">
        <f>tblData[[#This Row],[AMOUNT]]-tblData[[#This Row],[COST]]</f>
        <v>1400</v>
      </c>
      <c r="H15" s="58">
        <f>DATE(YEAR('Data Entry'!$B15),MONTH('Data Entry'!$B15),1)</f>
        <v>41487</v>
      </c>
      <c r="I15" s="59">
        <f>LOOKUP(MONTH('Data Entry'!$H15),{1,1;2,1;3,1;4,2;5,2;6,2;7,3;8,3;9,3;10,4;11,4;12,4})</f>
        <v>3</v>
      </c>
      <c r="J15" s="60">
        <f>YEAR('Data Entry'!$B15)</f>
        <v>2013</v>
      </c>
      <c r="K15" s="61">
        <f>MONTH(tblData[[#This Row],[DATE]])</f>
        <v>8</v>
      </c>
      <c r="L15" s="62">
        <f>SUMIFS([AMOUNT],[DATE],"&gt;="&amp;EOMONTH(tblData[[#This Row],[DATE]],-1)+1,[DATE],"&lt;="&amp;EOMONTH(tblData[[#This Row],[DATE]],0))</f>
        <v>16400</v>
      </c>
      <c r="M15" s="62">
        <f>SUMIFS([AMOUNT],[DATE],"&gt;="&amp;DATE(YEAR(tblData[[#This Row],[DATE]]),1,1),[DATE],"&lt;="&amp;DATE(YEAR(tblData[[#This Row],[DATE]]),12,31),[QUARTER],tblData[[#This Row],[QUARTER]])</f>
        <v>49100</v>
      </c>
      <c r="N15" s="62">
        <f>SUMIFS([AMOUNT],[DATE],"&gt;="&amp;DATE(YEAR(tblData[[#This Row],[DATE]]),1,1),[DATE],"&lt;="&amp;DATE(YEAR(tblData[[#This Row],[DATE]]),12,31))</f>
        <v>143800</v>
      </c>
      <c r="O15" s="63">
        <f>IFERROR(TREND($L$6:INDEX($L:$L,ROW(),1),$K$6:INDEX($K:$K,ROW(),1),IF(MONTH(tblData[[#This Row],[DATE]])=12,13,MONTH(tblData[[#This Row],[DATE]])+1)),"")</f>
        <v>12455.862068965516</v>
      </c>
      <c r="P15" s="63">
        <f>IFERROR(TREND($M$6:INDEX($M:$M,ROW(),1),$I$6:INDEX($I:$I,ROW(),1),IF(tblData[[#This Row],[QUARTER]]=4,5,tblData[[#This Row],[QUARTER]]+1)),"")</f>
        <v>47400</v>
      </c>
      <c r="Q15" s="63">
        <f>IFERROR(TREND($N$6:INDEX($N:$N,ROW(),1),$J$6:INDEX($J:$J,ROW(),1),tblData[[#This Row],[YEAR]]+1),"")</f>
        <v>143800</v>
      </c>
    </row>
    <row r="16" spans="2:17" ht="25.5" customHeight="1">
      <c r="B16" s="64">
        <f>40775+(365*2)</f>
        <v>41505</v>
      </c>
      <c r="C16" s="65" t="s">
        <v>4</v>
      </c>
      <c r="D16" s="66">
        <v>7900</v>
      </c>
      <c r="E16" s="66">
        <v>7700</v>
      </c>
      <c r="F16" s="66">
        <v>6600</v>
      </c>
      <c r="G16" s="57">
        <f>tblData[[#This Row],[AMOUNT]]-tblData[[#This Row],[COST]]</f>
        <v>1300</v>
      </c>
      <c r="H16" s="58">
        <f>DATE(YEAR('Data Entry'!$B16),MONTH('Data Entry'!$B16),1)</f>
        <v>41487</v>
      </c>
      <c r="I16" s="59">
        <f>LOOKUP(MONTH('Data Entry'!$H16),{1,1;2,1;3,1;4,2;5,2;6,2;7,3;8,3;9,3;10,4;11,4;12,4})</f>
        <v>3</v>
      </c>
      <c r="J16" s="60">
        <f>YEAR('Data Entry'!$B16)</f>
        <v>2013</v>
      </c>
      <c r="K16" s="61">
        <f>MONTH(tblData[[#This Row],[DATE]])</f>
        <v>8</v>
      </c>
      <c r="L16" s="62">
        <f>SUMIFS([AMOUNT],[DATE],"&gt;="&amp;EOMONTH(tblData[[#This Row],[DATE]],-1)+1,[DATE],"&lt;="&amp;EOMONTH(tblData[[#This Row],[DATE]],0))</f>
        <v>16400</v>
      </c>
      <c r="M16" s="62">
        <f>SUMIFS([AMOUNT],[DATE],"&gt;="&amp;DATE(YEAR(tblData[[#This Row],[DATE]]),1,1),[DATE],"&lt;="&amp;DATE(YEAR(tblData[[#This Row],[DATE]]),12,31),[QUARTER],tblData[[#This Row],[QUARTER]])</f>
        <v>49100</v>
      </c>
      <c r="N16" s="62">
        <f>SUMIFS([AMOUNT],[DATE],"&gt;="&amp;DATE(YEAR(tblData[[#This Row],[DATE]]),1,1),[DATE],"&lt;="&amp;DATE(YEAR(tblData[[#This Row],[DATE]]),12,31))</f>
        <v>143800</v>
      </c>
      <c r="O16" s="63">
        <f>IFERROR(TREND($L$6:INDEX($L:$L,ROW(),1),$K$6:INDEX($K:$K,ROW(),1),IF(MONTH(tblData[[#This Row],[DATE]])=12,13,MONTH(tblData[[#This Row],[DATE]])+1)),"")</f>
        <v>13667.567567567565</v>
      </c>
      <c r="P16" s="63">
        <f>IFERROR(TREND($M$6:INDEX($M:$M,ROW(),1),$I$6:INDEX($I:$I,ROW(),1),IF(tblData[[#This Row],[QUARTER]]=4,5,tblData[[#This Row],[QUARTER]]+1)),"")</f>
        <v>47400.000000000007</v>
      </c>
      <c r="Q16" s="63">
        <f>IFERROR(TREND($N$6:INDEX($N:$N,ROW(),1),$J$6:INDEX($J:$J,ROW(),1),tblData[[#This Row],[YEAR]]+1),"")</f>
        <v>143800</v>
      </c>
    </row>
    <row r="17" spans="2:17" ht="25.5" customHeight="1">
      <c r="B17" s="64">
        <f>40791+(365*2)</f>
        <v>41521</v>
      </c>
      <c r="C17" s="65" t="s">
        <v>5</v>
      </c>
      <c r="D17" s="66">
        <v>9100</v>
      </c>
      <c r="E17" s="66">
        <v>8900</v>
      </c>
      <c r="F17" s="66">
        <v>7900</v>
      </c>
      <c r="G17" s="57">
        <f>tblData[[#This Row],[AMOUNT]]-tblData[[#This Row],[COST]]</f>
        <v>1200</v>
      </c>
      <c r="H17" s="58">
        <f>DATE(YEAR('Data Entry'!$B17),MONTH('Data Entry'!$B17),1)</f>
        <v>41518</v>
      </c>
      <c r="I17" s="59">
        <f>LOOKUP(MONTH('Data Entry'!$H17),{1,1;2,1;3,1;4,2;5,2;6,2;7,3;8,3;9,3;10,4;11,4;12,4})</f>
        <v>3</v>
      </c>
      <c r="J17" s="60">
        <f>YEAR('Data Entry'!$B17)</f>
        <v>2013</v>
      </c>
      <c r="K17" s="61">
        <f>MONTH(tblData[[#This Row],[DATE]])</f>
        <v>9</v>
      </c>
      <c r="L17" s="62">
        <f>SUMIFS([AMOUNT],[DATE],"&gt;="&amp;EOMONTH(tblData[[#This Row],[DATE]],-1)+1,[DATE],"&lt;="&amp;EOMONTH(tblData[[#This Row],[DATE]],0))</f>
        <v>24000</v>
      </c>
      <c r="M17" s="62">
        <f>SUMIFS([AMOUNT],[DATE],"&gt;="&amp;DATE(YEAR(tblData[[#This Row],[DATE]]),1,1),[DATE],"&lt;="&amp;DATE(YEAR(tblData[[#This Row],[DATE]]),12,31),[QUARTER],tblData[[#This Row],[QUARTER]])</f>
        <v>49100</v>
      </c>
      <c r="N17" s="62">
        <f>SUMIFS([AMOUNT],[DATE],"&gt;="&amp;DATE(YEAR(tblData[[#This Row],[DATE]]),1,1),[DATE],"&lt;="&amp;DATE(YEAR(tblData[[#This Row],[DATE]]),12,31))</f>
        <v>143800</v>
      </c>
      <c r="O17" s="63">
        <f>IFERROR(TREND($L$6:INDEX($L:$L,ROW(),1),$K$6:INDEX($K:$K,ROW(),1),IF(MONTH(tblData[[#This Row],[DATE]])=12,13,MONTH(tblData[[#This Row],[DATE]])+1)),"")</f>
        <v>17651.666666666664</v>
      </c>
      <c r="P17" s="63">
        <f>IFERROR(TREND($M$6:INDEX($M:$M,ROW(),1),$I$6:INDEX($I:$I,ROW(),1),IF(tblData[[#This Row],[QUARTER]]=4,5,tblData[[#This Row],[QUARTER]]+1)),"")</f>
        <v>47400</v>
      </c>
      <c r="Q17" s="63">
        <f>IFERROR(TREND($N$6:INDEX($N:$N,ROW(),1),$J$6:INDEX($J:$J,ROW(),1),tblData[[#This Row],[YEAR]]+1),"")</f>
        <v>143800</v>
      </c>
    </row>
    <row r="18" spans="2:17" ht="25.5" customHeight="1">
      <c r="B18" s="64">
        <f>40807+(365*2)</f>
        <v>41537</v>
      </c>
      <c r="C18" s="65" t="s">
        <v>1</v>
      </c>
      <c r="D18" s="66">
        <v>5600</v>
      </c>
      <c r="E18" s="66">
        <v>5800</v>
      </c>
      <c r="F18" s="66">
        <v>4500</v>
      </c>
      <c r="G18" s="57">
        <f>tblData[[#This Row],[AMOUNT]]-tblData[[#This Row],[COST]]</f>
        <v>1100</v>
      </c>
      <c r="H18" s="58">
        <f>DATE(YEAR('Data Entry'!$B18),MONTH('Data Entry'!$B18),1)</f>
        <v>41518</v>
      </c>
      <c r="I18" s="59">
        <f>LOOKUP(MONTH('Data Entry'!$H18),{1,1;2,1;3,1;4,2;5,2;6,2;7,3;8,3;9,3;10,4;11,4;12,4})</f>
        <v>3</v>
      </c>
      <c r="J18" s="60">
        <f>YEAR('Data Entry'!$B18)</f>
        <v>2013</v>
      </c>
      <c r="K18" s="61">
        <f>MONTH(tblData[[#This Row],[DATE]])</f>
        <v>9</v>
      </c>
      <c r="L18" s="62">
        <f>SUMIFS([AMOUNT],[DATE],"&gt;="&amp;EOMONTH(tblData[[#This Row],[DATE]],-1)+1,[DATE],"&lt;="&amp;EOMONTH(tblData[[#This Row],[DATE]],0))</f>
        <v>24000</v>
      </c>
      <c r="M18" s="62">
        <f>SUMIFS([AMOUNT],[DATE],"&gt;="&amp;DATE(YEAR(tblData[[#This Row],[DATE]]),1,1),[DATE],"&lt;="&amp;DATE(YEAR(tblData[[#This Row],[DATE]]),12,31),[QUARTER],tblData[[#This Row],[QUARTER]])</f>
        <v>49100</v>
      </c>
      <c r="N18" s="62">
        <f>SUMIFS([AMOUNT],[DATE],"&gt;="&amp;DATE(YEAR(tblData[[#This Row],[DATE]]),1,1),[DATE],"&lt;="&amp;DATE(YEAR(tblData[[#This Row],[DATE]]),12,31))</f>
        <v>143800</v>
      </c>
      <c r="O18" s="63">
        <f>IFERROR(TREND($L$6:INDEX($L:$L,ROW(),1),$K$6:INDEX($K:$K,ROW(),1),IF(MONTH(tblData[[#This Row],[DATE]])=12,13,MONTH(tblData[[#This Row],[DATE]])+1)),"")</f>
        <v>19877.911646586344</v>
      </c>
      <c r="P18" s="63">
        <f>IFERROR(TREND($M$6:INDEX($M:$M,ROW(),1),$I$6:INDEX($I:$I,ROW(),1),IF(tblData[[#This Row],[QUARTER]]=4,5,tblData[[#This Row],[QUARTER]]+1)),"")</f>
        <v>47400</v>
      </c>
      <c r="Q18" s="63">
        <f>IFERROR(TREND($N$6:INDEX($N:$N,ROW(),1),$J$6:INDEX($J:$J,ROW(),1),tblData[[#This Row],[YEAR]]+1),"")</f>
        <v>143800</v>
      </c>
    </row>
    <row r="19" spans="2:17" ht="25.5" customHeight="1">
      <c r="B19" s="64">
        <f>40812+(365*2)</f>
        <v>41542</v>
      </c>
      <c r="C19" s="65" t="s">
        <v>2</v>
      </c>
      <c r="D19" s="66">
        <v>9300</v>
      </c>
      <c r="E19" s="66">
        <v>9100</v>
      </c>
      <c r="F19" s="66">
        <v>7500</v>
      </c>
      <c r="G19" s="57">
        <f>tblData[[#This Row],[AMOUNT]]-tblData[[#This Row],[COST]]</f>
        <v>1800</v>
      </c>
      <c r="H19" s="58">
        <f>DATE(YEAR('Data Entry'!$B19),MONTH('Data Entry'!$B19),1)</f>
        <v>41518</v>
      </c>
      <c r="I19" s="59">
        <f>LOOKUP(MONTH('Data Entry'!$H19),{1,1;2,1;3,1;4,2;5,2;6,2;7,3;8,3;9,3;10,4;11,4;12,4})</f>
        <v>3</v>
      </c>
      <c r="J19" s="60">
        <f>YEAR('Data Entry'!$B19)</f>
        <v>2013</v>
      </c>
      <c r="K19" s="61">
        <f>MONTH(tblData[[#This Row],[DATE]])</f>
        <v>9</v>
      </c>
      <c r="L19" s="62">
        <f>SUMIFS([AMOUNT],[DATE],"&gt;="&amp;EOMONTH(tblData[[#This Row],[DATE]],-1)+1,[DATE],"&lt;="&amp;EOMONTH(tblData[[#This Row],[DATE]],0))</f>
        <v>24000</v>
      </c>
      <c r="M19" s="62">
        <f>SUMIFS([AMOUNT],[DATE],"&gt;="&amp;DATE(YEAR(tblData[[#This Row],[DATE]]),1,1),[DATE],"&lt;="&amp;DATE(YEAR(tblData[[#This Row],[DATE]]),12,31),[QUARTER],tblData[[#This Row],[QUARTER]])</f>
        <v>49100</v>
      </c>
      <c r="N19" s="62">
        <f>SUMIFS([AMOUNT],[DATE],"&gt;="&amp;DATE(YEAR(tblData[[#This Row],[DATE]]),1,1),[DATE],"&lt;="&amp;DATE(YEAR(tblData[[#This Row],[DATE]]),12,31))</f>
        <v>143800</v>
      </c>
      <c r="O19" s="63">
        <f>IFERROR(TREND($L$6:INDEX($L:$L,ROW(),1),$K$6:INDEX($K:$K,ROW(),1),IF(MONTH(tblData[[#This Row],[DATE]])=12,13,MONTH(tblData[[#This Row],[DATE]])+1)),"")</f>
        <v>21138.050314465407</v>
      </c>
      <c r="P19" s="63">
        <f>IFERROR(TREND($M$6:INDEX($M:$M,ROW(),1),$I$6:INDEX($I:$I,ROW(),1),IF(tblData[[#This Row],[QUARTER]]=4,5,tblData[[#This Row],[QUARTER]]+1)),"")</f>
        <v>47400</v>
      </c>
      <c r="Q19" s="63">
        <f>IFERROR(TREND($N$6:INDEX($N:$N,ROW(),1),$J$6:INDEX($J:$J,ROW(),1),tblData[[#This Row],[YEAR]]+1),"")</f>
        <v>143800</v>
      </c>
    </row>
    <row r="20" spans="2:17" ht="25.5" customHeight="1">
      <c r="B20" s="64">
        <f>40832+(365*2)</f>
        <v>41562</v>
      </c>
      <c r="C20" s="65" t="s">
        <v>3</v>
      </c>
      <c r="D20" s="66">
        <v>8800</v>
      </c>
      <c r="E20" s="66">
        <v>9350</v>
      </c>
      <c r="F20" s="66">
        <v>7100</v>
      </c>
      <c r="G20" s="57">
        <f>tblData[[#This Row],[AMOUNT]]-tblData[[#This Row],[COST]]</f>
        <v>1700</v>
      </c>
      <c r="H20" s="58">
        <f>DATE(YEAR('Data Entry'!$B20),MONTH('Data Entry'!$B20),1)</f>
        <v>41548</v>
      </c>
      <c r="I20" s="59">
        <f>LOOKUP(MONTH('Data Entry'!$H20),{1,1;2,1;3,1;4,2;5,2;6,2;7,3;8,3;9,3;10,4;11,4;12,4})</f>
        <v>4</v>
      </c>
      <c r="J20" s="60">
        <f>YEAR('Data Entry'!$B20)</f>
        <v>2013</v>
      </c>
      <c r="K20" s="61">
        <f>MONTH(tblData[[#This Row],[DATE]])</f>
        <v>10</v>
      </c>
      <c r="L20" s="62">
        <f>SUMIFS([AMOUNT],[DATE],"&gt;="&amp;EOMONTH(tblData[[#This Row],[DATE]],-1)+1,[DATE],"&lt;="&amp;EOMONTH(tblData[[#This Row],[DATE]],0))</f>
        <v>8800</v>
      </c>
      <c r="M20" s="62">
        <f>SUMIFS([AMOUNT],[DATE],"&gt;="&amp;DATE(YEAR(tblData[[#This Row],[DATE]]),1,1),[DATE],"&lt;="&amp;DATE(YEAR(tblData[[#This Row],[DATE]]),12,31),[QUARTER],tblData[[#This Row],[QUARTER]])</f>
        <v>43900</v>
      </c>
      <c r="N20" s="62">
        <f>SUMIFS([AMOUNT],[DATE],"&gt;="&amp;DATE(YEAR(tblData[[#This Row],[DATE]]),1,1),[DATE],"&lt;="&amp;DATE(YEAR(tblData[[#This Row],[DATE]]),12,31))</f>
        <v>143800</v>
      </c>
      <c r="O20" s="63">
        <f>IFERROR(TREND($L$6:INDEX($L:$L,ROW(),1),$K$6:INDEX($K:$K,ROW(),1),IF(MONTH(tblData[[#This Row],[DATE]])=12,13,MONTH(tblData[[#This Row],[DATE]])+1)),"")</f>
        <v>17951.744186046508</v>
      </c>
      <c r="P20" s="63">
        <f>IFERROR(TREND($M$6:INDEX($M:$M,ROW(),1),$I$6:INDEX($I:$I,ROW(),1),IF(tblData[[#This Row],[QUARTER]]=4,5,tblData[[#This Row],[QUARTER]]+1)),"")</f>
        <v>43258.139534883725</v>
      </c>
      <c r="Q20" s="63">
        <f>IFERROR(TREND($N$6:INDEX($N:$N,ROW(),1),$J$6:INDEX($J:$J,ROW(),1),tblData[[#This Row],[YEAR]]+1),"")</f>
        <v>143800</v>
      </c>
    </row>
    <row r="21" spans="2:17" ht="25.5" customHeight="1">
      <c r="B21" s="64">
        <f>40853+(365*2)</f>
        <v>41583</v>
      </c>
      <c r="C21" s="65" t="s">
        <v>4</v>
      </c>
      <c r="D21" s="66">
        <v>9100</v>
      </c>
      <c r="E21" s="66">
        <v>9200</v>
      </c>
      <c r="F21" s="66">
        <v>7850</v>
      </c>
      <c r="G21" s="57">
        <f>tblData[[#This Row],[AMOUNT]]-tblData[[#This Row],[COST]]</f>
        <v>1250</v>
      </c>
      <c r="H21" s="58">
        <f>DATE(YEAR('Data Entry'!$B21),MONTH('Data Entry'!$B21),1)</f>
        <v>41579</v>
      </c>
      <c r="I21" s="59">
        <f>LOOKUP(MONTH('Data Entry'!$H21),{1,1;2,1;3,1;4,2;5,2;6,2;7,3;8,3;9,3;10,4;11,4;12,4})</f>
        <v>4</v>
      </c>
      <c r="J21" s="60">
        <f>YEAR('Data Entry'!$B21)</f>
        <v>2013</v>
      </c>
      <c r="K21" s="61">
        <f>MONTH(tblData[[#This Row],[DATE]])</f>
        <v>11</v>
      </c>
      <c r="L21" s="62">
        <f>SUMIFS([AMOUNT],[DATE],"&gt;="&amp;EOMONTH(tblData[[#This Row],[DATE]],-1)+1,[DATE],"&lt;="&amp;EOMONTH(tblData[[#This Row],[DATE]],0))</f>
        <v>25600</v>
      </c>
      <c r="M21" s="62">
        <f>SUMIFS([AMOUNT],[DATE],"&gt;="&amp;DATE(YEAR(tblData[[#This Row],[DATE]]),1,1),[DATE],"&lt;="&amp;DATE(YEAR(tblData[[#This Row],[DATE]]),12,31),[QUARTER],tblData[[#This Row],[QUARTER]])</f>
        <v>43900</v>
      </c>
      <c r="N21" s="62">
        <f>SUMIFS([AMOUNT],[DATE],"&gt;="&amp;DATE(YEAR(tblData[[#This Row],[DATE]]),1,1),[DATE],"&lt;="&amp;DATE(YEAR(tblData[[#This Row],[DATE]]),12,31))</f>
        <v>143800</v>
      </c>
      <c r="O21" s="63">
        <f>IFERROR(TREND($L$6:INDEX($L:$L,ROW(),1),$K$6:INDEX($K:$K,ROW(),1),IF(MONTH(tblData[[#This Row],[DATE]])=12,13,MONTH(tblData[[#This Row],[DATE]])+1)),"")</f>
        <v>20556.130108423687</v>
      </c>
      <c r="P21" s="63">
        <f>IFERROR(TREND($M$6:INDEX($M:$M,ROW(),1),$I$6:INDEX($I:$I,ROW(),1),IF(tblData[[#This Row],[QUARTER]]=4,5,tblData[[#This Row],[QUARTER]]+1)),"")</f>
        <v>42312.903225806447</v>
      </c>
      <c r="Q21" s="63">
        <f>IFERROR(TREND($N$6:INDEX($N:$N,ROW(),1),$J$6:INDEX($J:$J,ROW(),1),tblData[[#This Row],[YEAR]]+1),"")</f>
        <v>143800</v>
      </c>
    </row>
    <row r="22" spans="2:17" ht="25.5" customHeight="1">
      <c r="B22" s="64">
        <f>40874+(365*2)</f>
        <v>41604</v>
      </c>
      <c r="C22" s="65" t="s">
        <v>5</v>
      </c>
      <c r="D22" s="66">
        <v>9000</v>
      </c>
      <c r="E22" s="66">
        <v>10000</v>
      </c>
      <c r="F22" s="66">
        <v>7575</v>
      </c>
      <c r="G22" s="57">
        <f>tblData[[#This Row],[AMOUNT]]-tblData[[#This Row],[COST]]</f>
        <v>1425</v>
      </c>
      <c r="H22" s="58">
        <f>DATE(YEAR('Data Entry'!$B22),MONTH('Data Entry'!$B22),1)</f>
        <v>41579</v>
      </c>
      <c r="I22" s="59">
        <f>LOOKUP(MONTH('Data Entry'!$H22),{1,1;2,1;3,1;4,2;5,2;6,2;7,3;8,3;9,3;10,4;11,4;12,4})</f>
        <v>4</v>
      </c>
      <c r="J22" s="60">
        <f>YEAR('Data Entry'!$B22)</f>
        <v>2013</v>
      </c>
      <c r="K22" s="61">
        <f>MONTH(tblData[[#This Row],[DATE]])</f>
        <v>11</v>
      </c>
      <c r="L22" s="62">
        <f>SUMIFS([AMOUNT],[DATE],"&gt;="&amp;EOMONTH(tblData[[#This Row],[DATE]],-1)+1,[DATE],"&lt;="&amp;EOMONTH(tblData[[#This Row],[DATE]],0))</f>
        <v>25600</v>
      </c>
      <c r="M22" s="62">
        <f>SUMIFS([AMOUNT],[DATE],"&gt;="&amp;DATE(YEAR(tblData[[#This Row],[DATE]]),1,1),[DATE],"&lt;="&amp;DATE(YEAR(tblData[[#This Row],[DATE]]),12,31),[QUARTER],tblData[[#This Row],[QUARTER]])</f>
        <v>43900</v>
      </c>
      <c r="N22" s="62">
        <f>SUMIFS([AMOUNT],[DATE],"&gt;="&amp;DATE(YEAR(tblData[[#This Row],[DATE]]),1,1),[DATE],"&lt;="&amp;DATE(YEAR(tblData[[#This Row],[DATE]]),12,31))</f>
        <v>143800</v>
      </c>
      <c r="O22" s="63">
        <f>IFERROR(TREND($L$6:INDEX($L:$L,ROW(),1),$K$6:INDEX($K:$K,ROW(),1),IF(MONTH(tblData[[#This Row],[DATE]])=12,13,MONTH(tblData[[#This Row],[DATE]])+1)),"")</f>
        <v>21997.139141742522</v>
      </c>
      <c r="P22" s="63">
        <f>IFERROR(TREND($M$6:INDEX($M:$M,ROW(),1),$I$6:INDEX($I:$I,ROW(),1),IF(tblData[[#This Row],[QUARTER]]=4,5,tblData[[#This Row],[QUARTER]]+1)),"")</f>
        <v>41811.111111111109</v>
      </c>
      <c r="Q22" s="63">
        <f>IFERROR(TREND($N$6:INDEX($N:$N,ROW(),1),$J$6:INDEX($J:$J,ROW(),1),tblData[[#This Row],[YEAR]]+1),"")</f>
        <v>143800</v>
      </c>
    </row>
    <row r="23" spans="2:17" ht="25.5" customHeight="1">
      <c r="B23" s="64">
        <f>40878+(365*2)</f>
        <v>41608</v>
      </c>
      <c r="C23" s="65" t="s">
        <v>5</v>
      </c>
      <c r="D23" s="66">
        <v>7500</v>
      </c>
      <c r="E23" s="66">
        <v>8000</v>
      </c>
      <c r="F23" s="66">
        <v>5850</v>
      </c>
      <c r="G23" s="57">
        <f>tblData[[#This Row],[AMOUNT]]-tblData[[#This Row],[COST]]</f>
        <v>1650</v>
      </c>
      <c r="H23" s="58">
        <f>DATE(YEAR('Data Entry'!$B23),MONTH('Data Entry'!$B23),1)</f>
        <v>41579</v>
      </c>
      <c r="I23" s="59">
        <f>LOOKUP(MONTH('Data Entry'!$H23),{1,1;2,1;3,1;4,2;5,2;6,2;7,3;8,3;9,3;10,4;11,4;12,4})</f>
        <v>4</v>
      </c>
      <c r="J23" s="60">
        <f>YEAR('Data Entry'!$B23)</f>
        <v>2013</v>
      </c>
      <c r="K23" s="61">
        <f>MONTH(tblData[[#This Row],[DATE]])</f>
        <v>11</v>
      </c>
      <c r="L23" s="62">
        <f>SUMIFS([AMOUNT],[DATE],"&gt;="&amp;EOMONTH(tblData[[#This Row],[DATE]],-1)+1,[DATE],"&lt;="&amp;EOMONTH(tblData[[#This Row],[DATE]],0))</f>
        <v>25600</v>
      </c>
      <c r="M23" s="62">
        <f>SUMIFS([AMOUNT],[DATE],"&gt;="&amp;DATE(YEAR(tblData[[#This Row],[DATE]]),1,1),[DATE],"&lt;="&amp;DATE(YEAR(tblData[[#This Row],[DATE]]),12,31),[QUARTER],tblData[[#This Row],[QUARTER]])</f>
        <v>43900</v>
      </c>
      <c r="N23" s="62">
        <f>SUMIFS([AMOUNT],[DATE],"&gt;="&amp;DATE(YEAR(tblData[[#This Row],[DATE]]),1,1),[DATE],"&lt;="&amp;DATE(YEAR(tblData[[#This Row],[DATE]]),12,31))</f>
        <v>143800</v>
      </c>
      <c r="O23" s="63">
        <f>IFERROR(TREND($L$6:INDEX($L:$L,ROW(),1),$K$6:INDEX($K:$K,ROW(),1),IF(MONTH(tblData[[#This Row],[DATE]])=12,13,MONTH(tblData[[#This Row],[DATE]])+1)),"")</f>
        <v>22917.634523175278</v>
      </c>
      <c r="P23" s="63">
        <f>IFERROR(TREND($M$6:INDEX($M:$M,ROW(),1),$I$6:INDEX($I:$I,ROW(),1),IF(tblData[[#This Row],[QUARTER]]=4,5,tblData[[#This Row],[QUARTER]]+1)),"")</f>
        <v>41500</v>
      </c>
      <c r="Q23" s="63">
        <f>IFERROR(TREND($N$6:INDEX($N:$N,ROW(),1),$J$6:INDEX($J:$J,ROW(),1),tblData[[#This Row],[YEAR]]+1),"")</f>
        <v>143800</v>
      </c>
    </row>
    <row r="24" spans="2:17" ht="25.5" customHeight="1">
      <c r="B24" s="64">
        <f>40889+(365*2)</f>
        <v>41619</v>
      </c>
      <c r="C24" s="65" t="s">
        <v>1</v>
      </c>
      <c r="D24" s="66">
        <v>9500</v>
      </c>
      <c r="E24" s="66">
        <v>9200</v>
      </c>
      <c r="F24" s="66">
        <v>8500</v>
      </c>
      <c r="G24" s="57">
        <f>tblData[[#This Row],[AMOUNT]]-tblData[[#This Row],[COST]]</f>
        <v>1000</v>
      </c>
      <c r="H24" s="58">
        <f>DATE(YEAR('Data Entry'!$B24),MONTH('Data Entry'!$B24),1)</f>
        <v>41609</v>
      </c>
      <c r="I24" s="59">
        <f>LOOKUP(MONTH('Data Entry'!$H24),{1,1;2,1;3,1;4,2;5,2;6,2;7,3;8,3;9,3;10,4;11,4;12,4})</f>
        <v>4</v>
      </c>
      <c r="J24" s="60">
        <f>YEAR('Data Entry'!$B24)</f>
        <v>2013</v>
      </c>
      <c r="K24" s="61">
        <f>MONTH(tblData[[#This Row],[DATE]])</f>
        <v>12</v>
      </c>
      <c r="L24" s="62">
        <f>SUMIFS([AMOUNT],[DATE],"&gt;="&amp;EOMONTH(tblData[[#This Row],[DATE]],-1)+1,[DATE],"&lt;="&amp;EOMONTH(tblData[[#This Row],[DATE]],0))</f>
        <v>9500</v>
      </c>
      <c r="M24" s="62">
        <f>SUMIFS([AMOUNT],[DATE],"&gt;="&amp;DATE(YEAR(tblData[[#This Row],[DATE]]),1,1),[DATE],"&lt;="&amp;DATE(YEAR(tblData[[#This Row],[DATE]]),12,31),[QUARTER],tblData[[#This Row],[QUARTER]])</f>
        <v>43900</v>
      </c>
      <c r="N24" s="62">
        <f>SUMIFS([AMOUNT],[DATE],"&gt;="&amp;DATE(YEAR(tblData[[#This Row],[DATE]]),1,1),[DATE],"&lt;="&amp;DATE(YEAR(tblData[[#This Row],[DATE]]),12,31))</f>
        <v>143800</v>
      </c>
      <c r="O24" s="63">
        <f>IFERROR(TREND($L$6:INDEX($L:$L,ROW(),1),$K$6:INDEX($K:$K,ROW(),1),IF(MONTH(tblData[[#This Row],[DATE]])=12,13,MONTH(tblData[[#This Row],[DATE]])+1)),"")</f>
        <v>20504.314720812181</v>
      </c>
      <c r="P24" s="63">
        <f>IFERROR(TREND($M$6:INDEX($M:$M,ROW(),1),$I$6:INDEX($I:$I,ROW(),1),IF(tblData[[#This Row],[QUARTER]]=4,5,tblData[[#This Row],[QUARTER]]+1)),"")</f>
        <v>41288.23529411765</v>
      </c>
      <c r="Q24" s="63">
        <f>IFERROR(TREND($N$6:INDEX($N:$N,ROW(),1),$J$6:INDEX($J:$J,ROW(),1),tblData[[#This Row],[YEAR]]+1),"")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  <pageSetUpPr autoPageBreaks="0" fitToPage="1"/>
  </sheetPr>
  <dimension ref="A1:F29"/>
  <sheetViews>
    <sheetView showGridLines="0" workbookViewId="0"/>
  </sheetViews>
  <sheetFormatPr defaultRowHeight="17.25" customHeight="1"/>
  <cols>
    <col min="1" max="1" width="2" style="23" customWidth="1"/>
    <col min="2" max="3" width="16.6640625" style="20" customWidth="1"/>
    <col min="4" max="4" width="16.6640625" style="21" customWidth="1"/>
    <col min="5" max="5" width="39.33203125" style="21" customWidth="1"/>
    <col min="6" max="6" width="27" style="22" customWidth="1"/>
    <col min="7" max="16384" width="9.33203125" style="23"/>
  </cols>
  <sheetData>
    <row r="1" spans="1:6" s="19" customFormat="1" ht="11.25" customHeight="1">
      <c r="B1" s="20"/>
      <c r="C1" s="20"/>
      <c r="D1" s="21"/>
      <c r="E1" s="21"/>
      <c r="F1" s="22"/>
    </row>
    <row r="2" spans="1:6" customFormat="1" ht="33.75">
      <c r="B2" s="2" t="s">
        <v>49</v>
      </c>
    </row>
    <row r="3" spans="1:6" ht="17.25" customHeight="1">
      <c r="A3" s="19"/>
    </row>
    <row r="4" spans="1:6" ht="17.25" customHeight="1">
      <c r="A4" s="19"/>
    </row>
    <row r="5" spans="1:6" ht="15">
      <c r="B5" s="47" t="s">
        <v>20</v>
      </c>
      <c r="C5" s="46" t="s">
        <v>16</v>
      </c>
      <c r="D5" s="46" t="s">
        <v>15</v>
      </c>
      <c r="E5" s="46" t="s">
        <v>25</v>
      </c>
      <c r="F5" s="48" t="s">
        <v>50</v>
      </c>
    </row>
    <row r="6" spans="1:6" ht="17.25" customHeight="1">
      <c r="B6" s="29">
        <v>2013</v>
      </c>
      <c r="C6" s="31">
        <v>2</v>
      </c>
      <c r="D6" s="32">
        <v>41365</v>
      </c>
      <c r="E6" t="s">
        <v>0</v>
      </c>
      <c r="F6" s="18">
        <v>6400</v>
      </c>
    </row>
    <row r="7" spans="1:6" ht="17.25" customHeight="1">
      <c r="B7" s="26"/>
      <c r="C7" s="26"/>
      <c r="D7" s="26"/>
      <c r="E7" t="s">
        <v>1</v>
      </c>
      <c r="F7" s="18">
        <v>8200</v>
      </c>
    </row>
    <row r="8" spans="1:6" ht="17.25" customHeight="1">
      <c r="B8" s="26"/>
      <c r="C8" s="26"/>
      <c r="D8" s="32">
        <v>41395</v>
      </c>
      <c r="E8" t="s">
        <v>2</v>
      </c>
      <c r="F8" s="18">
        <v>4400</v>
      </c>
    </row>
    <row r="9" spans="1:6" ht="17.25" customHeight="1">
      <c r="B9" s="26"/>
      <c r="C9" s="26"/>
      <c r="D9" s="26"/>
      <c r="E9" t="s">
        <v>3</v>
      </c>
      <c r="F9" s="18">
        <v>5400</v>
      </c>
    </row>
    <row r="10" spans="1:6" ht="17.25" customHeight="1">
      <c r="B10" s="26"/>
      <c r="C10" s="26"/>
      <c r="D10" s="26"/>
      <c r="E10" t="s">
        <v>4</v>
      </c>
      <c r="F10" s="18">
        <v>5800</v>
      </c>
    </row>
    <row r="11" spans="1:6" ht="17.25" customHeight="1">
      <c r="B11" s="26"/>
      <c r="C11" s="26"/>
      <c r="D11" s="26"/>
      <c r="E11" t="s">
        <v>5</v>
      </c>
      <c r="F11" s="18">
        <v>6200</v>
      </c>
    </row>
    <row r="12" spans="1:6" ht="17.25" customHeight="1">
      <c r="B12" s="26"/>
      <c r="C12" s="26"/>
      <c r="D12" s="32">
        <v>41426</v>
      </c>
      <c r="E12" t="s">
        <v>0</v>
      </c>
      <c r="F12" s="18">
        <v>6900</v>
      </c>
    </row>
    <row r="13" spans="1:6" ht="17.25" customHeight="1">
      <c r="B13" s="26"/>
      <c r="C13" s="26"/>
      <c r="D13" s="26"/>
      <c r="E13" t="s">
        <v>1</v>
      </c>
      <c r="F13" s="18">
        <v>7500</v>
      </c>
    </row>
    <row r="14" spans="1:6" ht="17.25" customHeight="1">
      <c r="B14" s="26"/>
      <c r="C14" s="30" t="s">
        <v>52</v>
      </c>
      <c r="D14"/>
      <c r="E14"/>
      <c r="F14" s="18">
        <v>50800</v>
      </c>
    </row>
    <row r="15" spans="1:6" ht="17.25" customHeight="1">
      <c r="B15" s="26"/>
      <c r="C15" s="31">
        <v>3</v>
      </c>
      <c r="D15" s="32">
        <v>41456</v>
      </c>
      <c r="E15" t="s">
        <v>2</v>
      </c>
      <c r="F15" s="18">
        <v>8700</v>
      </c>
    </row>
    <row r="16" spans="1:6" ht="17.25" customHeight="1">
      <c r="B16" s="26"/>
      <c r="C16" s="26"/>
      <c r="D16" s="32">
        <v>41487</v>
      </c>
      <c r="E16" t="s">
        <v>3</v>
      </c>
      <c r="F16" s="18">
        <v>8500</v>
      </c>
    </row>
    <row r="17" spans="2:6" ht="17.25" customHeight="1">
      <c r="B17" s="26"/>
      <c r="C17" s="26"/>
      <c r="D17" s="26"/>
      <c r="E17" t="s">
        <v>4</v>
      </c>
      <c r="F17" s="18">
        <v>7900</v>
      </c>
    </row>
    <row r="18" spans="2:6" ht="17.25" customHeight="1">
      <c r="B18" s="26"/>
      <c r="C18" s="26"/>
      <c r="D18" s="32">
        <v>41518</v>
      </c>
      <c r="E18" t="s">
        <v>2</v>
      </c>
      <c r="F18" s="18">
        <v>9300</v>
      </c>
    </row>
    <row r="19" spans="2:6" ht="17.25" customHeight="1">
      <c r="B19" s="26"/>
      <c r="C19" s="26"/>
      <c r="D19" s="26"/>
      <c r="E19" t="s">
        <v>1</v>
      </c>
      <c r="F19" s="18">
        <v>5600</v>
      </c>
    </row>
    <row r="20" spans="2:6" ht="17.25" customHeight="1">
      <c r="B20" s="26"/>
      <c r="C20" s="26"/>
      <c r="D20" s="26"/>
      <c r="E20" t="s">
        <v>5</v>
      </c>
      <c r="F20" s="18">
        <v>9100</v>
      </c>
    </row>
    <row r="21" spans="2:6" ht="17.25" customHeight="1">
      <c r="B21" s="26"/>
      <c r="C21" s="30" t="s">
        <v>53</v>
      </c>
      <c r="D21"/>
      <c r="E21"/>
      <c r="F21" s="18">
        <v>49100</v>
      </c>
    </row>
    <row r="22" spans="2:6" ht="17.25" customHeight="1">
      <c r="B22" s="26"/>
      <c r="C22" s="31">
        <v>4</v>
      </c>
      <c r="D22" s="32">
        <v>41548</v>
      </c>
      <c r="E22" t="s">
        <v>3</v>
      </c>
      <c r="F22" s="18">
        <v>8800</v>
      </c>
    </row>
    <row r="23" spans="2:6" ht="17.25" customHeight="1">
      <c r="B23" s="26"/>
      <c r="C23" s="26"/>
      <c r="D23" s="32">
        <v>41579</v>
      </c>
      <c r="E23" t="s">
        <v>4</v>
      </c>
      <c r="F23" s="18">
        <v>9100</v>
      </c>
    </row>
    <row r="24" spans="2:6" ht="17.25" customHeight="1">
      <c r="B24" s="26"/>
      <c r="C24" s="26"/>
      <c r="D24" s="26"/>
      <c r="E24" t="s">
        <v>5</v>
      </c>
      <c r="F24" s="18">
        <v>16500</v>
      </c>
    </row>
    <row r="25" spans="2:6" ht="17.25" customHeight="1">
      <c r="B25" s="26"/>
      <c r="C25" s="26"/>
      <c r="D25" s="32">
        <v>41609</v>
      </c>
      <c r="E25" t="s">
        <v>1</v>
      </c>
      <c r="F25" s="18">
        <v>9500</v>
      </c>
    </row>
    <row r="26" spans="2:6" ht="17.25" customHeight="1">
      <c r="B26" s="26"/>
      <c r="C26" s="30" t="s">
        <v>54</v>
      </c>
      <c r="D26"/>
      <c r="E26"/>
      <c r="F26" s="18">
        <v>43900</v>
      </c>
    </row>
    <row r="27" spans="2:6" ht="11.25">
      <c r="B27" s="28" t="s">
        <v>55</v>
      </c>
      <c r="C27" s="24"/>
      <c r="D27" s="24"/>
      <c r="E27" s="24"/>
      <c r="F27" s="25">
        <v>143800</v>
      </c>
    </row>
    <row r="28" spans="2:6" ht="11.25">
      <c r="B28" s="27" t="s">
        <v>6</v>
      </c>
      <c r="C28"/>
      <c r="D28"/>
      <c r="E28"/>
      <c r="F28" s="18">
        <v>143800</v>
      </c>
    </row>
    <row r="29" spans="2:6" ht="17.25" customHeight="1">
      <c r="B29"/>
      <c r="C29"/>
      <c r="D29"/>
      <c r="E29"/>
      <c r="F29"/>
    </row>
  </sheetData>
  <conditionalFormatting sqref="E1:E4 E30:E1048553">
    <cfRule type="expression" dxfId="40" priority="4">
      <formula>(LEN($E1)&gt;0)*(LEN($D2)&gt;0)</formula>
    </cfRule>
  </conditionalFormatting>
  <conditionalFormatting sqref="D1:D7 D24 D26:D1048576 F30:F1048576">
    <cfRule type="expression" dxfId="39" priority="3">
      <formula>(LEN($D1)&gt;0)*(LEN($C1)=0)</formula>
    </cfRule>
  </conditionalFormatting>
  <conditionalFormatting sqref="F1:F5">
    <cfRule type="expression" dxfId="38" priority="1">
      <formula>(LEN($D1)&gt;0)*(LEN($C1)=0)</formula>
    </cfRule>
  </conditionalFormatting>
  <conditionalFormatting sqref="E1048554:E1048576">
    <cfRule type="expression" dxfId="37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7"/>
    <pageSetUpPr autoPageBreaks="0" fitToPage="1"/>
  </sheetPr>
  <dimension ref="B2:J43"/>
  <sheetViews>
    <sheetView showGridLines="0" workbookViewId="0"/>
  </sheetViews>
  <sheetFormatPr defaultRowHeight="11.25"/>
  <cols>
    <col min="1" max="1" width="2" customWidth="1"/>
    <col min="2" max="2" width="23" customWidth="1"/>
    <col min="3" max="8" width="16" customWidth="1"/>
    <col min="9" max="9" width="21.5" customWidth="1"/>
    <col min="10" max="10" width="16" customWidth="1"/>
  </cols>
  <sheetData>
    <row r="2" spans="2:10" ht="33.75">
      <c r="B2" s="2" t="s">
        <v>33</v>
      </c>
    </row>
    <row r="3" spans="2:10" ht="27.75" customHeight="1">
      <c r="B3" s="15" t="str">
        <f ca="1">"TODAY'S DATE: "&amp;UPPER(TEXT(TODAY(),"mmm d, yyyy"))</f>
        <v>TODAY'S DATE: APR 16, 2015</v>
      </c>
      <c r="D3" s="17">
        <f ca="1">--TRIM(RIGHT(B3,LEN(B3)-FIND(":",B3)))</f>
        <v>42110</v>
      </c>
    </row>
    <row r="4" spans="2:10" ht="15" customHeight="1"/>
    <row r="5" spans="2:10" ht="18.75" customHeight="1">
      <c r="B5" s="45" t="s">
        <v>34</v>
      </c>
      <c r="C5" s="44" t="s">
        <v>35</v>
      </c>
      <c r="D5" s="44" t="s">
        <v>36</v>
      </c>
      <c r="E5" s="44" t="s">
        <v>37</v>
      </c>
      <c r="F5" s="44" t="s">
        <v>7</v>
      </c>
      <c r="G5" s="44" t="s">
        <v>38</v>
      </c>
      <c r="H5" s="44" t="s">
        <v>39</v>
      </c>
      <c r="I5" s="44" t="s">
        <v>40</v>
      </c>
      <c r="J5" s="34" t="s">
        <v>14</v>
      </c>
    </row>
    <row r="6" spans="2:10" s="3" customFormat="1" ht="15" customHeight="1">
      <c r="B6" s="4" t="s">
        <v>8</v>
      </c>
      <c r="C6" s="39">
        <f ca="1">COUNTIF('Data Entry'!$B$6:$B$24,"&gt;="&amp;DATE(fYear,MONTH(fDate),1))-COUNTIF('Data Entry'!$B$6:$B$24,"&gt;"&amp;EOMONTH(fDate,0))</f>
        <v>19</v>
      </c>
      <c r="D6" s="43"/>
      <c r="E6" s="6"/>
      <c r="F6" s="7"/>
      <c r="G6" s="39">
        <f ca="1">COUNTIF(tblData[DATE],"&lt;="&amp;EOMONTH(fDate,0))</f>
        <v>19</v>
      </c>
      <c r="H6" s="5"/>
      <c r="I6" s="5"/>
      <c r="J6" s="8"/>
    </row>
    <row r="7" spans="2:10" s="3" customFormat="1" ht="15" customHeight="1">
      <c r="B7" s="9" t="s">
        <v>13</v>
      </c>
      <c r="C7" s="40">
        <f ca="1">SUMIF(tblData[DATE],"&gt;="&amp;DATE(fYear,MONTH(fDate),1),tblData[AMOUNT])-SUMIF(tblData[DATE],"&gt;"&amp;EOMONTH(fDate,0),tblData[AMOUNT])</f>
        <v>143800</v>
      </c>
      <c r="D7" s="40">
        <f ca="1">SUMIF('Data Entry'!$B$6:$B$24,"&gt;="&amp;DATE(fYear,MONTH(fDate),1),'Data Entry'!$E$6:$E$24)-SUMIF('Data Entry'!$B$6:$B$24,"&gt;"&amp;EOMONTH(fDate,0),'Data Entry'!$E$6:$E$24)</f>
        <v>144650</v>
      </c>
      <c r="E7" s="40">
        <f ca="1">D7-C7</f>
        <v>850</v>
      </c>
      <c r="F7" s="41">
        <f ca="1">IFERROR(D7/C7,"-")</f>
        <v>1.0059109874826146</v>
      </c>
      <c r="G7" s="40">
        <f ca="1">SUMIF(tblData[DATE],"&lt;="&amp;EOMONTH(fDate,0),tblData[AMOUNT])</f>
        <v>143800</v>
      </c>
      <c r="H7" s="40">
        <f ca="1">SUMIF(tblData[DATE],"&lt;="&amp;EOMONTH(fDate,0),tblData[PLANNED])</f>
        <v>144650</v>
      </c>
      <c r="I7" s="40">
        <f ca="1">H7-G7</f>
        <v>850</v>
      </c>
      <c r="J7" s="10">
        <f ca="1">IFERROR(H7/G7,"")</f>
        <v>1.0059109874826146</v>
      </c>
    </row>
    <row r="8" spans="2:10" s="3" customFormat="1" ht="15" customHeight="1">
      <c r="B8" s="9" t="s">
        <v>9</v>
      </c>
      <c r="C8" s="40">
        <f ca="1">(SUMIF(tblData[DATE],"&gt;="&amp;DATE(fYear,MONTH(fDate),1),tblData[AMOUNT])-SUMIF(tblData[DATE],"&gt;"&amp;EOMONTH(fDate,0),tblData[AMOUNT]))-(SUMIF(tblData[DATE],"&gt;="&amp;DATE(fYear,MONTH(fDate),1),tblData[COST])-SUMIF(tblData[DATE],"&gt;"&amp;EOMONTH(fDate,0),tblData[COST]))</f>
        <v>27225</v>
      </c>
      <c r="D8" s="40">
        <f ca="1">(SUMIF('Data Entry'!$B$6:$B$24,"&gt;="&amp;DATE(fYear,MONTH(fDate),1),'Data Entry'!$E$6:$E$24)-SUMIF('Data Entry'!$B$6:$B$24,"&gt;"&amp;EOMONTH(fDate,0),'Data Entry'!$E$6:$E$24))-(SUMIF('Data Entry'!$B$6:$B$24,"&gt;="&amp;DATE(fYear,MONTH(fDate),1),'Data Entry'!$F$6:$F$24)-SUMIF('Data Entry'!$B$6:$B$24,"&gt;"&amp;EOMONTH(fDate,0),'Data Entry'!$F$6:$F$24))</f>
        <v>28075</v>
      </c>
      <c r="E8" s="40">
        <f ca="1">D8-C8</f>
        <v>850</v>
      </c>
      <c r="F8" s="41">
        <f ca="1">IFERROR(D8/C8,"-")</f>
        <v>1.0312213039485767</v>
      </c>
      <c r="G8" s="40">
        <f ca="1">SUMIF('Data Entry'!$B$6:$B$24,"&lt;="&amp;EOMONTH(fDate,0),'Data Entry'!$F$6:$F$24)</f>
        <v>116575</v>
      </c>
      <c r="H8" s="40">
        <f ca="1">SUMIF(tblData[DATE],"&lt;="&amp;EOMONTH(fDate,0),tblData[COST])</f>
        <v>116575</v>
      </c>
      <c r="I8" s="40">
        <f ca="1">H8-G8</f>
        <v>0</v>
      </c>
      <c r="J8" s="10">
        <f ca="1">IFERROR(H8/G8,"")</f>
        <v>1</v>
      </c>
    </row>
    <row r="9" spans="2:10" s="3" customFormat="1" ht="15" customHeight="1">
      <c r="B9" s="9" t="s">
        <v>10</v>
      </c>
      <c r="C9" s="41">
        <f ca="1">IFERROR(C8/C7,"-")</f>
        <v>0.18932545201668985</v>
      </c>
      <c r="D9" s="41">
        <f ca="1">IFERROR(D8/D7,"-")</f>
        <v>0.194089180781196</v>
      </c>
      <c r="E9" s="41"/>
      <c r="F9" s="41">
        <f ca="1">IFERROR(F8/F7,"-")</f>
        <v>1.0251615866422767</v>
      </c>
      <c r="G9" s="41">
        <f ca="1">IFERROR(G8/G7,"")</f>
        <v>0.81067454798331018</v>
      </c>
      <c r="H9" s="41">
        <f ca="1">IFERROR(H8/H7,"")</f>
        <v>0.80591081921880403</v>
      </c>
      <c r="I9" s="41"/>
      <c r="J9" s="10">
        <f ca="1">IFERROR(J8/J7,"")</f>
        <v>0.99412374697545813</v>
      </c>
    </row>
    <row r="10" spans="2:10" s="3" customFormat="1" ht="15" customHeight="1">
      <c r="B10" s="9" t="s">
        <v>11</v>
      </c>
      <c r="C10" s="42">
        <f ca="1">COUNTIF(tblData[DATE],"&gt;="&amp;DATE(fYear,MONTH(fDate),1))-COUNTIF(tblData[DATE],"&gt;"&amp;EOMONTH(fDate,0))</f>
        <v>19</v>
      </c>
      <c r="D10" s="11"/>
      <c r="E10" s="11"/>
      <c r="F10" s="11"/>
      <c r="G10" s="42">
        <f ca="1">COUNTIF(tblData[DATE],"&gt;"&amp;EOMONTH(fDate,0))</f>
        <v>0</v>
      </c>
      <c r="H10" s="11"/>
      <c r="I10" s="11"/>
      <c r="J10" s="12"/>
    </row>
    <row r="11" spans="2:10" s="3" customFormat="1" ht="15" customHeight="1">
      <c r="B11" s="9" t="s">
        <v>12</v>
      </c>
      <c r="C11" s="40">
        <f ca="1">IFERROR(C7/C10,"-")</f>
        <v>7568.4210526315792</v>
      </c>
      <c r="D11" s="11"/>
      <c r="E11" s="11"/>
      <c r="F11" s="11"/>
      <c r="G11" s="40" t="str">
        <f ca="1">IFERROR(G7/G10,"-")</f>
        <v>-</v>
      </c>
      <c r="H11" s="11"/>
      <c r="I11" s="11"/>
      <c r="J11" s="12"/>
    </row>
    <row r="12" spans="2:10" ht="27" customHeight="1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>
      <c r="B13" s="33" t="s">
        <v>31</v>
      </c>
      <c r="C13" s="33"/>
      <c r="D13" s="33" t="s">
        <v>41</v>
      </c>
      <c r="E13" s="38"/>
      <c r="F13" s="33" t="s">
        <v>42</v>
      </c>
      <c r="G13" s="38"/>
      <c r="H13" s="33"/>
      <c r="I13" s="33" t="s">
        <v>43</v>
      </c>
      <c r="J13" s="13"/>
    </row>
    <row r="14" spans="2:10">
      <c r="B14" s="35" t="s">
        <v>13</v>
      </c>
      <c r="C14" s="35"/>
      <c r="D14" s="36">
        <f ca="1">TREND(tblData[[MONTH ]],tblData[MONTH NUM (HIDE)],IF(MONTH(fDate)=12,13,MONTH(fDate)+1))</f>
        <v>17697.884940778342</v>
      </c>
      <c r="E14" s="37"/>
      <c r="F14" s="36">
        <f ca="1">TREND(tblData[[QUARTER ]],tblData[MONTH NUM (HIDE)],IF(MONTH(fDate)=12,13,MONTH(fDate)+1))</f>
        <v>51056.68358714044</v>
      </c>
      <c r="G14" s="37"/>
      <c r="H14" s="36"/>
      <c r="I14" s="36">
        <f ca="1">TREND(tblData[[YEARLY ]],tblData[MONTH NUM (HIDE)],IF(MONTH(fDate)=12,13,MONTH(fDate)+1))</f>
        <v>143800</v>
      </c>
      <c r="J14" s="14"/>
    </row>
    <row r="15" spans="2:10" ht="27" customHeight="1"/>
    <row r="16" spans="2:10" s="16" customFormat="1" ht="27" customHeight="1">
      <c r="B16" s="16" t="s">
        <v>44</v>
      </c>
    </row>
    <row r="30" spans="2:6" s="16" customFormat="1" ht="27" customHeight="1">
      <c r="B30" s="16" t="s">
        <v>47</v>
      </c>
      <c r="F30" s="16" t="s">
        <v>48</v>
      </c>
    </row>
    <row r="38" spans="2:10" s="16" customFormat="1" ht="27" customHeight="1">
      <c r="B38" s="16" t="s">
        <v>45</v>
      </c>
      <c r="F38" s="16" t="s">
        <v>46</v>
      </c>
    </row>
    <row r="43" spans="2:10">
      <c r="J43" t="s">
        <v>51</v>
      </c>
    </row>
  </sheetData>
  <conditionalFormatting sqref="E2">
    <cfRule type="expression" dxfId="28" priority="3">
      <formula>(LEN($E2)&gt;0)*(LEN($D3)&gt;0)</formula>
    </cfRule>
  </conditionalFormatting>
  <conditionalFormatting sqref="D2">
    <cfRule type="expression" dxfId="27" priority="2">
      <formula>(LEN($D2)&gt;0)*(LEN($C2)=0)</formula>
    </cfRule>
  </conditionalFormatting>
  <conditionalFormatting sqref="F2">
    <cfRule type="expression" dxfId="26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Data Entry</vt:lpstr>
      <vt:lpstr>Sales Report</vt:lpstr>
      <vt:lpstr>Sales Forecast</vt:lpstr>
      <vt:lpstr>fDate</vt:lpstr>
      <vt:lpstr>fDay</vt:lpstr>
      <vt:lpstr>fMonth</vt:lpstr>
      <vt:lpstr>ForecastDate</vt:lpstr>
      <vt:lpstr>fYear</vt:lpstr>
      <vt:lpstr>'Sales Forecast'!Print_Area</vt:lpstr>
      <vt:lpstr>'Sales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</dc:creator>
  <cp:lastModifiedBy>BlueBerry Labs</cp:lastModifiedBy>
  <dcterms:modified xsi:type="dcterms:W3CDTF">2015-04-16T21:24:02Z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TC029300469991</vt:lpwstr>
  </property>
</Properties>
</file>